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2C0B1FD6-C3E3-43D8-81B7-82173448DB2E}" xr6:coauthVersionLast="47" xr6:coauthVersionMax="47" xr10:uidLastSave="{00000000-0000-0000-0000-000000000000}"/>
  <bookViews>
    <workbookView xWindow="768" yWindow="768" windowWidth="19236" windowHeight="11436" tabRatio="825" xr2:uid="{E61D8321-F4A0-416A-9CE3-572866EE30B6}"/>
  </bookViews>
  <sheets>
    <sheet name="Intro" sheetId="12" r:id="rId1"/>
    <sheet name="Company Profile" sheetId="27" r:id="rId2"/>
    <sheet name="Break-Even Scores" sheetId="28" r:id="rId3"/>
    <sheet name="Positive Pursuits" sheetId="29" r:id="rId4"/>
    <sheet name="SDGs Scores" sheetId="13" r:id="rId5"/>
    <sheet name="Capitals Scores" sheetId="26" r:id="rId6"/>
  </sheets>
  <externalReferences>
    <externalReference r:id="rId7"/>
    <externalReference r:id="rId8"/>
  </externalReferences>
  <definedNames>
    <definedName name="_Ctrl_10" localSheetId="2" hidden="1">#REF!</definedName>
    <definedName name="_Ctrl_10" localSheetId="0" hidden="1">#REF!</definedName>
    <definedName name="_Ctrl_10" localSheetId="3" hidden="1">#REF!</definedName>
    <definedName name="_Ctrl_10" hidden="1">#REF!</definedName>
    <definedName name="_Ctrl_100" localSheetId="0" hidden="1">#REF!</definedName>
    <definedName name="_Ctrl_100" localSheetId="3" hidden="1">#REF!</definedName>
    <definedName name="_Ctrl_100" hidden="1">#REF!</definedName>
    <definedName name="_Ctrl_101" localSheetId="0" hidden="1">#REF!</definedName>
    <definedName name="_Ctrl_101" localSheetId="3" hidden="1">#REF!</definedName>
    <definedName name="_Ctrl_101" hidden="1">#REF!</definedName>
    <definedName name="_Ctrl_102" localSheetId="0" hidden="1">#REF!</definedName>
    <definedName name="_Ctrl_102" localSheetId="3" hidden="1">#REF!</definedName>
    <definedName name="_Ctrl_102" hidden="1">#REF!</definedName>
    <definedName name="_Ctrl_103" localSheetId="0" hidden="1">#REF!</definedName>
    <definedName name="_Ctrl_103" localSheetId="3" hidden="1">#REF!</definedName>
    <definedName name="_Ctrl_103" hidden="1">#REF!</definedName>
    <definedName name="_Ctrl_104" localSheetId="0" hidden="1">#REF!</definedName>
    <definedName name="_Ctrl_104" localSheetId="3" hidden="1">#REF!</definedName>
    <definedName name="_Ctrl_104" hidden="1">#REF!</definedName>
    <definedName name="_Ctrl_105" localSheetId="0" hidden="1">#REF!</definedName>
    <definedName name="_Ctrl_105" localSheetId="3" hidden="1">#REF!</definedName>
    <definedName name="_Ctrl_105" hidden="1">#REF!</definedName>
    <definedName name="_Ctrl_106" localSheetId="0" hidden="1">#REF!</definedName>
    <definedName name="_Ctrl_106" localSheetId="3" hidden="1">#REF!</definedName>
    <definedName name="_Ctrl_106" hidden="1">#REF!</definedName>
    <definedName name="_Ctrl_107" localSheetId="0" hidden="1">#REF!</definedName>
    <definedName name="_Ctrl_107" localSheetId="3" hidden="1">#REF!</definedName>
    <definedName name="_Ctrl_107" hidden="1">#REF!</definedName>
    <definedName name="_Ctrl_108" localSheetId="0" hidden="1">#REF!</definedName>
    <definedName name="_Ctrl_108" localSheetId="3" hidden="1">#REF!</definedName>
    <definedName name="_Ctrl_108" hidden="1">#REF!</definedName>
    <definedName name="_Ctrl_109" localSheetId="0" hidden="1">#REF!</definedName>
    <definedName name="_Ctrl_109" localSheetId="3" hidden="1">#REF!</definedName>
    <definedName name="_Ctrl_109" hidden="1">#REF!</definedName>
    <definedName name="_Ctrl_11" localSheetId="0" hidden="1">#REF!</definedName>
    <definedName name="_Ctrl_11" localSheetId="3" hidden="1">#REF!</definedName>
    <definedName name="_Ctrl_11" hidden="1">#REF!</definedName>
    <definedName name="_Ctrl_110" localSheetId="0" hidden="1">#REF!</definedName>
    <definedName name="_Ctrl_110" localSheetId="3" hidden="1">#REF!</definedName>
    <definedName name="_Ctrl_110" hidden="1">#REF!</definedName>
    <definedName name="_Ctrl_111" localSheetId="0" hidden="1">#REF!</definedName>
    <definedName name="_Ctrl_111" localSheetId="3" hidden="1">#REF!</definedName>
    <definedName name="_Ctrl_111" hidden="1">#REF!</definedName>
    <definedName name="_Ctrl_112" localSheetId="0" hidden="1">#REF!</definedName>
    <definedName name="_Ctrl_112" localSheetId="3" hidden="1">#REF!</definedName>
    <definedName name="_Ctrl_112" hidden="1">#REF!</definedName>
    <definedName name="_Ctrl_113" localSheetId="0" hidden="1">#REF!</definedName>
    <definedName name="_Ctrl_113" localSheetId="3" hidden="1">#REF!</definedName>
    <definedName name="_Ctrl_113" hidden="1">#REF!</definedName>
    <definedName name="_Ctrl_114" localSheetId="0" hidden="1">#REF!</definedName>
    <definedName name="_Ctrl_114" localSheetId="3" hidden="1">#REF!</definedName>
    <definedName name="_Ctrl_114" hidden="1">#REF!</definedName>
    <definedName name="_Ctrl_115" localSheetId="0" hidden="1">#REF!</definedName>
    <definedName name="_Ctrl_115" localSheetId="3" hidden="1">#REF!</definedName>
    <definedName name="_Ctrl_115" hidden="1">#REF!</definedName>
    <definedName name="_Ctrl_116" localSheetId="0" hidden="1">#REF!</definedName>
    <definedName name="_Ctrl_116" localSheetId="3" hidden="1">#REF!</definedName>
    <definedName name="_Ctrl_116" hidden="1">#REF!</definedName>
    <definedName name="_Ctrl_117" localSheetId="0" hidden="1">#REF!</definedName>
    <definedName name="_Ctrl_117" localSheetId="3" hidden="1">#REF!</definedName>
    <definedName name="_Ctrl_117" hidden="1">#REF!</definedName>
    <definedName name="_Ctrl_118" localSheetId="0" hidden="1">#REF!</definedName>
    <definedName name="_Ctrl_118" localSheetId="3" hidden="1">#REF!</definedName>
    <definedName name="_Ctrl_118" hidden="1">#REF!</definedName>
    <definedName name="_Ctrl_119" localSheetId="0" hidden="1">#REF!</definedName>
    <definedName name="_Ctrl_119" localSheetId="3" hidden="1">#REF!</definedName>
    <definedName name="_Ctrl_119" hidden="1">#REF!</definedName>
    <definedName name="_Ctrl_12" localSheetId="0" hidden="1">#REF!</definedName>
    <definedName name="_Ctrl_12" localSheetId="3" hidden="1">#REF!</definedName>
    <definedName name="_Ctrl_12" hidden="1">#REF!</definedName>
    <definedName name="_Ctrl_120" localSheetId="0" hidden="1">#REF!</definedName>
    <definedName name="_Ctrl_120" localSheetId="3" hidden="1">#REF!</definedName>
    <definedName name="_Ctrl_120" hidden="1">#REF!</definedName>
    <definedName name="_Ctrl_121" localSheetId="0" hidden="1">#REF!</definedName>
    <definedName name="_Ctrl_121" localSheetId="3" hidden="1">#REF!</definedName>
    <definedName name="_Ctrl_121" hidden="1">#REF!</definedName>
    <definedName name="_Ctrl_122" localSheetId="0" hidden="1">#REF!</definedName>
    <definedName name="_Ctrl_122" localSheetId="3" hidden="1">#REF!</definedName>
    <definedName name="_Ctrl_122" hidden="1">#REF!</definedName>
    <definedName name="_Ctrl_123" localSheetId="0" hidden="1">#REF!</definedName>
    <definedName name="_Ctrl_123" localSheetId="3" hidden="1">#REF!</definedName>
    <definedName name="_Ctrl_123" hidden="1">#REF!</definedName>
    <definedName name="_Ctrl_124" localSheetId="0" hidden="1">#REF!</definedName>
    <definedName name="_Ctrl_124" localSheetId="3" hidden="1">#REF!</definedName>
    <definedName name="_Ctrl_124" hidden="1">#REF!</definedName>
    <definedName name="_Ctrl_125" localSheetId="0" hidden="1">#REF!</definedName>
    <definedName name="_Ctrl_125" localSheetId="3" hidden="1">#REF!</definedName>
    <definedName name="_Ctrl_125" hidden="1">#REF!</definedName>
    <definedName name="_Ctrl_126" localSheetId="0" hidden="1">#REF!</definedName>
    <definedName name="_Ctrl_126" localSheetId="3" hidden="1">#REF!</definedName>
    <definedName name="_Ctrl_126" hidden="1">#REF!</definedName>
    <definedName name="_Ctrl_127" localSheetId="0" hidden="1">#REF!</definedName>
    <definedName name="_Ctrl_127" localSheetId="3" hidden="1">#REF!</definedName>
    <definedName name="_Ctrl_127" hidden="1">#REF!</definedName>
    <definedName name="_Ctrl_128" localSheetId="0" hidden="1">#REF!</definedName>
    <definedName name="_Ctrl_128" localSheetId="3" hidden="1">#REF!</definedName>
    <definedName name="_Ctrl_128" hidden="1">#REF!</definedName>
    <definedName name="_Ctrl_129" localSheetId="0" hidden="1">#REF!</definedName>
    <definedName name="_Ctrl_129" localSheetId="3" hidden="1">#REF!</definedName>
    <definedName name="_Ctrl_129" hidden="1">#REF!</definedName>
    <definedName name="_Ctrl_13" localSheetId="0" hidden="1">#REF!</definedName>
    <definedName name="_Ctrl_13" localSheetId="3" hidden="1">#REF!</definedName>
    <definedName name="_Ctrl_13" hidden="1">#REF!</definedName>
    <definedName name="_Ctrl_130" localSheetId="0" hidden="1">#REF!</definedName>
    <definedName name="_Ctrl_130" localSheetId="3" hidden="1">#REF!</definedName>
    <definedName name="_Ctrl_130" hidden="1">#REF!</definedName>
    <definedName name="_Ctrl_131" localSheetId="0" hidden="1">#REF!</definedName>
    <definedName name="_Ctrl_131" localSheetId="3" hidden="1">#REF!</definedName>
    <definedName name="_Ctrl_131" hidden="1">#REF!</definedName>
    <definedName name="_Ctrl_132" localSheetId="0" hidden="1">#REF!</definedName>
    <definedName name="_Ctrl_132" localSheetId="3" hidden="1">#REF!</definedName>
    <definedName name="_Ctrl_132" hidden="1">#REF!</definedName>
    <definedName name="_Ctrl_133" localSheetId="0" hidden="1">#REF!</definedName>
    <definedName name="_Ctrl_133" localSheetId="3" hidden="1">#REF!</definedName>
    <definedName name="_Ctrl_133" hidden="1">#REF!</definedName>
    <definedName name="_Ctrl_134" localSheetId="0" hidden="1">#REF!</definedName>
    <definedName name="_Ctrl_134" localSheetId="3" hidden="1">#REF!</definedName>
    <definedName name="_Ctrl_134" hidden="1">#REF!</definedName>
    <definedName name="_Ctrl_135" localSheetId="0" hidden="1">#REF!</definedName>
    <definedName name="_Ctrl_135" localSheetId="3" hidden="1">#REF!</definedName>
    <definedName name="_Ctrl_135" hidden="1">#REF!</definedName>
    <definedName name="_Ctrl_136" localSheetId="0" hidden="1">#REF!</definedName>
    <definedName name="_Ctrl_136" localSheetId="3" hidden="1">#REF!</definedName>
    <definedName name="_Ctrl_136" hidden="1">#REF!</definedName>
    <definedName name="_Ctrl_137" localSheetId="0" hidden="1">#REF!</definedName>
    <definedName name="_Ctrl_137" localSheetId="3" hidden="1">#REF!</definedName>
    <definedName name="_Ctrl_137" hidden="1">#REF!</definedName>
    <definedName name="_Ctrl_138" localSheetId="0" hidden="1">#REF!</definedName>
    <definedName name="_Ctrl_138" localSheetId="3" hidden="1">#REF!</definedName>
    <definedName name="_Ctrl_138" hidden="1">#REF!</definedName>
    <definedName name="_Ctrl_139" localSheetId="0" hidden="1">#REF!</definedName>
    <definedName name="_Ctrl_139" localSheetId="3" hidden="1">#REF!</definedName>
    <definedName name="_Ctrl_139" hidden="1">#REF!</definedName>
    <definedName name="_Ctrl_14" localSheetId="0" hidden="1">#REF!</definedName>
    <definedName name="_Ctrl_14" localSheetId="3" hidden="1">#REF!</definedName>
    <definedName name="_Ctrl_14" hidden="1">#REF!</definedName>
    <definedName name="_Ctrl_140" localSheetId="0" hidden="1">#REF!</definedName>
    <definedName name="_Ctrl_140" localSheetId="3" hidden="1">#REF!</definedName>
    <definedName name="_Ctrl_140" hidden="1">#REF!</definedName>
    <definedName name="_Ctrl_141" localSheetId="2" hidden="1">#REF!</definedName>
    <definedName name="_Ctrl_141" localSheetId="5" hidden="1">'[1]&lt;IR&gt; Caps - Fin''l, Man''g, Int''l'!#REF!</definedName>
    <definedName name="_Ctrl_141" localSheetId="1" hidden="1">#REF!</definedName>
    <definedName name="_Ctrl_141" localSheetId="0" hidden="1">Intro!#REF!</definedName>
    <definedName name="_Ctrl_141" localSheetId="3" hidden="1">#REF!</definedName>
    <definedName name="_Ctrl_141" localSheetId="4" hidden="1">'[1]&lt;IR&gt; Caps - Fin''l, Man''g, Int''l'!#REF!</definedName>
    <definedName name="_Ctrl_141" hidden="1">#REF!</definedName>
    <definedName name="_Ctrl_142" localSheetId="1" hidden="1">#REF!</definedName>
    <definedName name="_Ctrl_142" localSheetId="0" hidden="1">#REF!</definedName>
    <definedName name="_Ctrl_142" localSheetId="3" hidden="1">#REF!</definedName>
    <definedName name="_Ctrl_142" hidden="1">#REF!</definedName>
    <definedName name="_Ctrl_143" localSheetId="0" hidden="1">#REF!</definedName>
    <definedName name="_Ctrl_143" localSheetId="3" hidden="1">#REF!</definedName>
    <definedName name="_Ctrl_143" hidden="1">#REF!</definedName>
    <definedName name="_Ctrl_15" localSheetId="0" hidden="1">#REF!</definedName>
    <definedName name="_Ctrl_15" localSheetId="3" hidden="1">#REF!</definedName>
    <definedName name="_Ctrl_15" hidden="1">#REF!</definedName>
    <definedName name="_Ctrl_16" localSheetId="0" hidden="1">#REF!</definedName>
    <definedName name="_Ctrl_16" localSheetId="3" hidden="1">#REF!</definedName>
    <definedName name="_Ctrl_16" hidden="1">#REF!</definedName>
    <definedName name="_Ctrl_17" localSheetId="0" hidden="1">#REF!</definedName>
    <definedName name="_Ctrl_17" localSheetId="3" hidden="1">#REF!</definedName>
    <definedName name="_Ctrl_17" hidden="1">#REF!</definedName>
    <definedName name="_Ctrl_18" localSheetId="0" hidden="1">#REF!</definedName>
    <definedName name="_Ctrl_18" localSheetId="3" hidden="1">#REF!</definedName>
    <definedName name="_Ctrl_18" hidden="1">#REF!</definedName>
    <definedName name="_Ctrl_19" localSheetId="0" hidden="1">#REF!</definedName>
    <definedName name="_Ctrl_19" localSheetId="3" hidden="1">#REF!</definedName>
    <definedName name="_Ctrl_19" hidden="1">#REF!</definedName>
    <definedName name="_Ctrl_20" localSheetId="0" hidden="1">#REF!</definedName>
    <definedName name="_Ctrl_20" localSheetId="3" hidden="1">#REF!</definedName>
    <definedName name="_Ctrl_20" hidden="1">#REF!</definedName>
    <definedName name="_Ctrl_21" localSheetId="0" hidden="1">#REF!</definedName>
    <definedName name="_Ctrl_21" localSheetId="3" hidden="1">#REF!</definedName>
    <definedName name="_Ctrl_21" hidden="1">#REF!</definedName>
    <definedName name="_Ctrl_22" localSheetId="0" hidden="1">#REF!</definedName>
    <definedName name="_Ctrl_22" localSheetId="3" hidden="1">#REF!</definedName>
    <definedName name="_Ctrl_22" hidden="1">#REF!</definedName>
    <definedName name="_Ctrl_23" localSheetId="0" hidden="1">#REF!</definedName>
    <definedName name="_Ctrl_23" localSheetId="3" hidden="1">#REF!</definedName>
    <definedName name="_Ctrl_23" hidden="1">#REF!</definedName>
    <definedName name="_Ctrl_24" localSheetId="0" hidden="1">#REF!</definedName>
    <definedName name="_Ctrl_24" localSheetId="3" hidden="1">#REF!</definedName>
    <definedName name="_Ctrl_24" hidden="1">#REF!</definedName>
    <definedName name="_Ctrl_25" localSheetId="0" hidden="1">#REF!</definedName>
    <definedName name="_Ctrl_25" localSheetId="3" hidden="1">#REF!</definedName>
    <definedName name="_Ctrl_25" hidden="1">#REF!</definedName>
    <definedName name="_Ctrl_26" localSheetId="0" hidden="1">#REF!</definedName>
    <definedName name="_Ctrl_26" localSheetId="3" hidden="1">#REF!</definedName>
    <definedName name="_Ctrl_26" hidden="1">#REF!</definedName>
    <definedName name="_Ctrl_27" localSheetId="0" hidden="1">#REF!</definedName>
    <definedName name="_Ctrl_27" localSheetId="3" hidden="1">#REF!</definedName>
    <definedName name="_Ctrl_27" hidden="1">#REF!</definedName>
    <definedName name="_Ctrl_28" localSheetId="0" hidden="1">#REF!</definedName>
    <definedName name="_Ctrl_28" localSheetId="3" hidden="1">#REF!</definedName>
    <definedName name="_Ctrl_28" hidden="1">#REF!</definedName>
    <definedName name="_Ctrl_29" localSheetId="0" hidden="1">#REF!</definedName>
    <definedName name="_Ctrl_29" localSheetId="3" hidden="1">#REF!</definedName>
    <definedName name="_Ctrl_29" hidden="1">#REF!</definedName>
    <definedName name="_Ctrl_3" localSheetId="0" hidden="1">#REF!</definedName>
    <definedName name="_Ctrl_3" localSheetId="3" hidden="1">#REF!</definedName>
    <definedName name="_Ctrl_3" hidden="1">#REF!</definedName>
    <definedName name="_Ctrl_30" localSheetId="0" hidden="1">#REF!</definedName>
    <definedName name="_Ctrl_30" localSheetId="3" hidden="1">#REF!</definedName>
    <definedName name="_Ctrl_30" hidden="1">#REF!</definedName>
    <definedName name="_Ctrl_31" localSheetId="0" hidden="1">#REF!</definedName>
    <definedName name="_Ctrl_31" localSheetId="3" hidden="1">#REF!</definedName>
    <definedName name="_Ctrl_31" hidden="1">#REF!</definedName>
    <definedName name="_Ctrl_32" localSheetId="0" hidden="1">#REF!</definedName>
    <definedName name="_Ctrl_32" localSheetId="3" hidden="1">#REF!</definedName>
    <definedName name="_Ctrl_32" hidden="1">#REF!</definedName>
    <definedName name="_Ctrl_33" localSheetId="0" hidden="1">#REF!</definedName>
    <definedName name="_Ctrl_33" localSheetId="3" hidden="1">#REF!</definedName>
    <definedName name="_Ctrl_33" hidden="1">#REF!</definedName>
    <definedName name="_Ctrl_34" localSheetId="0" hidden="1">#REF!</definedName>
    <definedName name="_Ctrl_34" localSheetId="3" hidden="1">#REF!</definedName>
    <definedName name="_Ctrl_34" hidden="1">#REF!</definedName>
    <definedName name="_Ctrl_35" localSheetId="0" hidden="1">#REF!</definedName>
    <definedName name="_Ctrl_35" localSheetId="3" hidden="1">#REF!</definedName>
    <definedName name="_Ctrl_35" hidden="1">#REF!</definedName>
    <definedName name="_Ctrl_36" localSheetId="0" hidden="1">#REF!</definedName>
    <definedName name="_Ctrl_36" localSheetId="3" hidden="1">#REF!</definedName>
    <definedName name="_Ctrl_36" hidden="1">#REF!</definedName>
    <definedName name="_Ctrl_37" localSheetId="0" hidden="1">#REF!</definedName>
    <definedName name="_Ctrl_37" localSheetId="3" hidden="1">#REF!</definedName>
    <definedName name="_Ctrl_37" hidden="1">#REF!</definedName>
    <definedName name="_Ctrl_38" localSheetId="0" hidden="1">#REF!</definedName>
    <definedName name="_Ctrl_38" localSheetId="3" hidden="1">#REF!</definedName>
    <definedName name="_Ctrl_38" hidden="1">#REF!</definedName>
    <definedName name="_Ctrl_39" localSheetId="0" hidden="1">#REF!</definedName>
    <definedName name="_Ctrl_39" localSheetId="3" hidden="1">#REF!</definedName>
    <definedName name="_Ctrl_39" hidden="1">#REF!</definedName>
    <definedName name="_Ctrl_4" localSheetId="0" hidden="1">#REF!</definedName>
    <definedName name="_Ctrl_4" localSheetId="3" hidden="1">#REF!</definedName>
    <definedName name="_Ctrl_4" hidden="1">#REF!</definedName>
    <definedName name="_Ctrl_40" localSheetId="0" hidden="1">#REF!</definedName>
    <definedName name="_Ctrl_40" localSheetId="3" hidden="1">#REF!</definedName>
    <definedName name="_Ctrl_40" hidden="1">#REF!</definedName>
    <definedName name="_Ctrl_42" localSheetId="0" hidden="1">#REF!</definedName>
    <definedName name="_Ctrl_42" localSheetId="3" hidden="1">#REF!</definedName>
    <definedName name="_Ctrl_42" hidden="1">#REF!</definedName>
    <definedName name="_Ctrl_44" localSheetId="0" hidden="1">#REF!</definedName>
    <definedName name="_Ctrl_44" localSheetId="3" hidden="1">#REF!</definedName>
    <definedName name="_Ctrl_44" hidden="1">#REF!</definedName>
    <definedName name="_Ctrl_45" localSheetId="0" hidden="1">#REF!</definedName>
    <definedName name="_Ctrl_45" localSheetId="3" hidden="1">#REF!</definedName>
    <definedName name="_Ctrl_45" hidden="1">#REF!</definedName>
    <definedName name="_Ctrl_46" localSheetId="0" hidden="1">#REF!</definedName>
    <definedName name="_Ctrl_46" localSheetId="3" hidden="1">#REF!</definedName>
    <definedName name="_Ctrl_46" hidden="1">#REF!</definedName>
    <definedName name="_Ctrl_47" localSheetId="0" hidden="1">#REF!</definedName>
    <definedName name="_Ctrl_47" localSheetId="3" hidden="1">#REF!</definedName>
    <definedName name="_Ctrl_47" hidden="1">#REF!</definedName>
    <definedName name="_Ctrl_48" localSheetId="0" hidden="1">#REF!</definedName>
    <definedName name="_Ctrl_48" localSheetId="3" hidden="1">#REF!</definedName>
    <definedName name="_Ctrl_48" hidden="1">#REF!</definedName>
    <definedName name="_Ctrl_49" localSheetId="0" hidden="1">#REF!</definedName>
    <definedName name="_Ctrl_49" localSheetId="3" hidden="1">#REF!</definedName>
    <definedName name="_Ctrl_49" hidden="1">#REF!</definedName>
    <definedName name="_Ctrl_5" localSheetId="0" hidden="1">#REF!</definedName>
    <definedName name="_Ctrl_5" localSheetId="3" hidden="1">#REF!</definedName>
    <definedName name="_Ctrl_5" hidden="1">#REF!</definedName>
    <definedName name="_Ctrl_50" localSheetId="0" hidden="1">#REF!</definedName>
    <definedName name="_Ctrl_50" localSheetId="3" hidden="1">#REF!</definedName>
    <definedName name="_Ctrl_50" hidden="1">#REF!</definedName>
    <definedName name="_Ctrl_51" localSheetId="0" hidden="1">#REF!</definedName>
    <definedName name="_Ctrl_51" localSheetId="3" hidden="1">#REF!</definedName>
    <definedName name="_Ctrl_51" hidden="1">#REF!</definedName>
    <definedName name="_Ctrl_52" localSheetId="0" hidden="1">#REF!</definedName>
    <definedName name="_Ctrl_52" localSheetId="3" hidden="1">#REF!</definedName>
    <definedName name="_Ctrl_52" hidden="1">#REF!</definedName>
    <definedName name="_Ctrl_53" localSheetId="0" hidden="1">#REF!</definedName>
    <definedName name="_Ctrl_53" localSheetId="3" hidden="1">#REF!</definedName>
    <definedName name="_Ctrl_53" hidden="1">#REF!</definedName>
    <definedName name="_Ctrl_54" localSheetId="0" hidden="1">#REF!</definedName>
    <definedName name="_Ctrl_54" localSheetId="3" hidden="1">#REF!</definedName>
    <definedName name="_Ctrl_54" hidden="1">#REF!</definedName>
    <definedName name="_Ctrl_55" localSheetId="0" hidden="1">#REF!</definedName>
    <definedName name="_Ctrl_55" localSheetId="3" hidden="1">#REF!</definedName>
    <definedName name="_Ctrl_55" hidden="1">#REF!</definedName>
    <definedName name="_Ctrl_56" localSheetId="0" hidden="1">#REF!</definedName>
    <definedName name="_Ctrl_56" localSheetId="3" hidden="1">#REF!</definedName>
    <definedName name="_Ctrl_56" hidden="1">#REF!</definedName>
    <definedName name="_Ctrl_57" localSheetId="0" hidden="1">#REF!</definedName>
    <definedName name="_Ctrl_57" localSheetId="3" hidden="1">#REF!</definedName>
    <definedName name="_Ctrl_57" hidden="1">#REF!</definedName>
    <definedName name="_Ctrl_58" localSheetId="0" hidden="1">#REF!</definedName>
    <definedName name="_Ctrl_58" localSheetId="3" hidden="1">#REF!</definedName>
    <definedName name="_Ctrl_58" hidden="1">#REF!</definedName>
    <definedName name="_Ctrl_59" localSheetId="0" hidden="1">#REF!</definedName>
    <definedName name="_Ctrl_59" localSheetId="3" hidden="1">#REF!</definedName>
    <definedName name="_Ctrl_59" hidden="1">#REF!</definedName>
    <definedName name="_Ctrl_6" localSheetId="0" hidden="1">#REF!</definedName>
    <definedName name="_Ctrl_6" localSheetId="3" hidden="1">#REF!</definedName>
    <definedName name="_Ctrl_6" hidden="1">#REF!</definedName>
    <definedName name="_Ctrl_60" localSheetId="0" hidden="1">#REF!</definedName>
    <definedName name="_Ctrl_60" localSheetId="3" hidden="1">#REF!</definedName>
    <definedName name="_Ctrl_60" hidden="1">#REF!</definedName>
    <definedName name="_Ctrl_61" localSheetId="0" hidden="1">#REF!</definedName>
    <definedName name="_Ctrl_61" localSheetId="3" hidden="1">#REF!</definedName>
    <definedName name="_Ctrl_61" hidden="1">#REF!</definedName>
    <definedName name="_Ctrl_62" localSheetId="0" hidden="1">#REF!</definedName>
    <definedName name="_Ctrl_62" localSheetId="3" hidden="1">#REF!</definedName>
    <definedName name="_Ctrl_62" hidden="1">#REF!</definedName>
    <definedName name="_Ctrl_63" localSheetId="0" hidden="1">#REF!</definedName>
    <definedName name="_Ctrl_63" localSheetId="3" hidden="1">#REF!</definedName>
    <definedName name="_Ctrl_63" hidden="1">#REF!</definedName>
    <definedName name="_Ctrl_64" localSheetId="0" hidden="1">#REF!</definedName>
    <definedName name="_Ctrl_64" localSheetId="3" hidden="1">#REF!</definedName>
    <definedName name="_Ctrl_64" hidden="1">#REF!</definedName>
    <definedName name="_Ctrl_65" localSheetId="0" hidden="1">#REF!</definedName>
    <definedName name="_Ctrl_65" localSheetId="3" hidden="1">#REF!</definedName>
    <definedName name="_Ctrl_65" hidden="1">#REF!</definedName>
    <definedName name="_Ctrl_66" localSheetId="0" hidden="1">#REF!</definedName>
    <definedName name="_Ctrl_66" localSheetId="3" hidden="1">#REF!</definedName>
    <definedName name="_Ctrl_66" hidden="1">#REF!</definedName>
    <definedName name="_Ctrl_67" localSheetId="0" hidden="1">#REF!</definedName>
    <definedName name="_Ctrl_67" localSheetId="3" hidden="1">#REF!</definedName>
    <definedName name="_Ctrl_67" hidden="1">#REF!</definedName>
    <definedName name="_Ctrl_68" localSheetId="0" hidden="1">#REF!</definedName>
    <definedName name="_Ctrl_68" localSheetId="3" hidden="1">#REF!</definedName>
    <definedName name="_Ctrl_68" hidden="1">#REF!</definedName>
    <definedName name="_Ctrl_69" localSheetId="0" hidden="1">#REF!</definedName>
    <definedName name="_Ctrl_69" localSheetId="3" hidden="1">#REF!</definedName>
    <definedName name="_Ctrl_69" hidden="1">#REF!</definedName>
    <definedName name="_Ctrl_7" localSheetId="0" hidden="1">#REF!</definedName>
    <definedName name="_Ctrl_7" localSheetId="3" hidden="1">#REF!</definedName>
    <definedName name="_Ctrl_7" hidden="1">#REF!</definedName>
    <definedName name="_Ctrl_70" localSheetId="0" hidden="1">#REF!</definedName>
    <definedName name="_Ctrl_70" localSheetId="3" hidden="1">#REF!</definedName>
    <definedName name="_Ctrl_70" hidden="1">#REF!</definedName>
    <definedName name="_Ctrl_71" localSheetId="0" hidden="1">#REF!</definedName>
    <definedName name="_Ctrl_71" localSheetId="3" hidden="1">#REF!</definedName>
    <definedName name="_Ctrl_71" hidden="1">#REF!</definedName>
    <definedName name="_Ctrl_72" localSheetId="0" hidden="1">#REF!</definedName>
    <definedName name="_Ctrl_72" localSheetId="3" hidden="1">#REF!</definedName>
    <definedName name="_Ctrl_72" hidden="1">#REF!</definedName>
    <definedName name="_Ctrl_73" localSheetId="0" hidden="1">#REF!</definedName>
    <definedName name="_Ctrl_73" localSheetId="3" hidden="1">#REF!</definedName>
    <definedName name="_Ctrl_73" hidden="1">#REF!</definedName>
    <definedName name="_Ctrl_74" localSheetId="0" hidden="1">#REF!</definedName>
    <definedName name="_Ctrl_74" localSheetId="3" hidden="1">#REF!</definedName>
    <definedName name="_Ctrl_74" hidden="1">#REF!</definedName>
    <definedName name="_Ctrl_75" localSheetId="0" hidden="1">#REF!</definedName>
    <definedName name="_Ctrl_75" localSheetId="3" hidden="1">#REF!</definedName>
    <definedName name="_Ctrl_75" hidden="1">#REF!</definedName>
    <definedName name="_Ctrl_76" localSheetId="0" hidden="1">#REF!</definedName>
    <definedName name="_Ctrl_76" localSheetId="3" hidden="1">#REF!</definedName>
    <definedName name="_Ctrl_76" hidden="1">#REF!</definedName>
    <definedName name="_Ctrl_77" localSheetId="0" hidden="1">#REF!</definedName>
    <definedName name="_Ctrl_77" localSheetId="3" hidden="1">#REF!</definedName>
    <definedName name="_Ctrl_77" hidden="1">#REF!</definedName>
    <definedName name="_Ctrl_78" localSheetId="0" hidden="1">#REF!</definedName>
    <definedName name="_Ctrl_78" localSheetId="3" hidden="1">#REF!</definedName>
    <definedName name="_Ctrl_78" hidden="1">#REF!</definedName>
    <definedName name="_Ctrl_79" localSheetId="0" hidden="1">#REF!</definedName>
    <definedName name="_Ctrl_79" localSheetId="3" hidden="1">#REF!</definedName>
    <definedName name="_Ctrl_79" hidden="1">#REF!</definedName>
    <definedName name="_Ctrl_8" localSheetId="0" hidden="1">#REF!</definedName>
    <definedName name="_Ctrl_8" localSheetId="3" hidden="1">#REF!</definedName>
    <definedName name="_Ctrl_8" hidden="1">#REF!</definedName>
    <definedName name="_Ctrl_80" localSheetId="0" hidden="1">#REF!</definedName>
    <definedName name="_Ctrl_80" localSheetId="3" hidden="1">#REF!</definedName>
    <definedName name="_Ctrl_80" hidden="1">#REF!</definedName>
    <definedName name="_Ctrl_81" localSheetId="0" hidden="1">#REF!</definedName>
    <definedName name="_Ctrl_81" localSheetId="3" hidden="1">#REF!</definedName>
    <definedName name="_Ctrl_81" hidden="1">#REF!</definedName>
    <definedName name="_Ctrl_82" localSheetId="0" hidden="1">#REF!</definedName>
    <definedName name="_Ctrl_82" localSheetId="3" hidden="1">#REF!</definedName>
    <definedName name="_Ctrl_82" hidden="1">#REF!</definedName>
    <definedName name="_Ctrl_83" localSheetId="0" hidden="1">#REF!</definedName>
    <definedName name="_Ctrl_83" localSheetId="3" hidden="1">#REF!</definedName>
    <definedName name="_Ctrl_83" hidden="1">#REF!</definedName>
    <definedName name="_Ctrl_84" localSheetId="0" hidden="1">#REF!</definedName>
    <definedName name="_Ctrl_84" localSheetId="3" hidden="1">#REF!</definedName>
    <definedName name="_Ctrl_84" hidden="1">#REF!</definedName>
    <definedName name="_Ctrl_85" localSheetId="0" hidden="1">#REF!</definedName>
    <definedName name="_Ctrl_85" localSheetId="3" hidden="1">#REF!</definedName>
    <definedName name="_Ctrl_85" hidden="1">#REF!</definedName>
    <definedName name="_Ctrl_86" localSheetId="0" hidden="1">#REF!</definedName>
    <definedName name="_Ctrl_86" localSheetId="3" hidden="1">#REF!</definedName>
    <definedName name="_Ctrl_86" hidden="1">#REF!</definedName>
    <definedName name="_Ctrl_87" localSheetId="0" hidden="1">#REF!</definedName>
    <definedName name="_Ctrl_87" localSheetId="3" hidden="1">#REF!</definedName>
    <definedName name="_Ctrl_87" hidden="1">#REF!</definedName>
    <definedName name="_Ctrl_88" localSheetId="0" hidden="1">#REF!</definedName>
    <definedName name="_Ctrl_88" localSheetId="3" hidden="1">#REF!</definedName>
    <definedName name="_Ctrl_88" hidden="1">#REF!</definedName>
    <definedName name="_Ctrl_89" localSheetId="0" hidden="1">#REF!</definedName>
    <definedName name="_Ctrl_89" localSheetId="3" hidden="1">#REF!</definedName>
    <definedName name="_Ctrl_89" hidden="1">#REF!</definedName>
    <definedName name="_Ctrl_9" localSheetId="0" hidden="1">#REF!</definedName>
    <definedName name="_Ctrl_9" localSheetId="3" hidden="1">#REF!</definedName>
    <definedName name="_Ctrl_9" hidden="1">#REF!</definedName>
    <definedName name="_Ctrl_90" localSheetId="0" hidden="1">#REF!</definedName>
    <definedName name="_Ctrl_90" localSheetId="3" hidden="1">#REF!</definedName>
    <definedName name="_Ctrl_90" hidden="1">#REF!</definedName>
    <definedName name="_Ctrl_91" localSheetId="0" hidden="1">#REF!</definedName>
    <definedName name="_Ctrl_91" localSheetId="3" hidden="1">#REF!</definedName>
    <definedName name="_Ctrl_91" hidden="1">#REF!</definedName>
    <definedName name="_Ctrl_92" localSheetId="0" hidden="1">#REF!</definedName>
    <definedName name="_Ctrl_92" localSheetId="3" hidden="1">#REF!</definedName>
    <definedName name="_Ctrl_92" hidden="1">#REF!</definedName>
    <definedName name="_Ctrl_93" localSheetId="0" hidden="1">#REF!</definedName>
    <definedName name="_Ctrl_93" localSheetId="3" hidden="1">#REF!</definedName>
    <definedName name="_Ctrl_93" hidden="1">#REF!</definedName>
    <definedName name="_Ctrl_94" localSheetId="0" hidden="1">#REF!</definedName>
    <definedName name="_Ctrl_94" localSheetId="3" hidden="1">#REF!</definedName>
    <definedName name="_Ctrl_94" hidden="1">#REF!</definedName>
    <definedName name="_Ctrl_95" localSheetId="0" hidden="1">#REF!</definedName>
    <definedName name="_Ctrl_95" localSheetId="3" hidden="1">#REF!</definedName>
    <definedName name="_Ctrl_95" hidden="1">#REF!</definedName>
    <definedName name="_Ctrl_96" localSheetId="0" hidden="1">#REF!</definedName>
    <definedName name="_Ctrl_96" localSheetId="3" hidden="1">#REF!</definedName>
    <definedName name="_Ctrl_96" hidden="1">#REF!</definedName>
    <definedName name="_Ctrl_97" localSheetId="0" hidden="1">#REF!</definedName>
    <definedName name="_Ctrl_97" localSheetId="3" hidden="1">#REF!</definedName>
    <definedName name="_Ctrl_97" hidden="1">#REF!</definedName>
    <definedName name="_Ctrl_98" localSheetId="0" hidden="1">#REF!</definedName>
    <definedName name="_Ctrl_98" localSheetId="3" hidden="1">#REF!</definedName>
    <definedName name="_Ctrl_98" hidden="1">#REF!</definedName>
    <definedName name="_Ctrl_99" localSheetId="0" hidden="1">#REF!</definedName>
    <definedName name="_Ctrl_99" localSheetId="3" hidden="1">#REF!</definedName>
    <definedName name="_Ctrl_99" hidden="1">#REF!</definedName>
    <definedName name="_Hlk13818446" localSheetId="2">'Break-Even Scores'!$S$390</definedName>
    <definedName name="_xlnm.Print_Area" localSheetId="5">'Capitals Scores'!$A$1:$K$79</definedName>
    <definedName name="_xlnm.Print_Area" localSheetId="0">Intro!$A$1:$G$82</definedName>
    <definedName name="_xlnm.Print_Area" localSheetId="4">'SDGs Scores'!$A$1:$X$61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13" l="1"/>
  <c r="E34" i="13"/>
  <c r="E33" i="13"/>
  <c r="E32" i="13"/>
  <c r="E28" i="13"/>
  <c r="E20" i="13"/>
  <c r="E17" i="13"/>
  <c r="E15" i="13"/>
  <c r="E14" i="13"/>
  <c r="B71" i="28" l="1"/>
  <c r="J62" i="28" l="1"/>
  <c r="I62" i="28"/>
  <c r="H62" i="28"/>
  <c r="D282" i="28"/>
  <c r="D281" i="28"/>
  <c r="D280" i="28"/>
  <c r="D279" i="28"/>
  <c r="D278" i="28"/>
  <c r="B265" i="28"/>
  <c r="B264" i="28"/>
  <c r="B263" i="28"/>
  <c r="B262" i="28"/>
  <c r="C403" i="28"/>
  <c r="D402" i="28"/>
  <c r="C402" i="28"/>
  <c r="D401" i="28"/>
  <c r="C401" i="28"/>
  <c r="C400" i="28"/>
  <c r="B352" i="28"/>
  <c r="B351" i="28"/>
  <c r="D350" i="28"/>
  <c r="C350" i="28"/>
  <c r="B350" i="28"/>
  <c r="D349" i="28"/>
  <c r="C349" i="28"/>
  <c r="B349" i="28"/>
  <c r="B348" i="28"/>
  <c r="D338" i="28"/>
  <c r="D337" i="28"/>
  <c r="D336" i="28"/>
  <c r="D335" i="28"/>
  <c r="D334" i="28"/>
  <c r="D324" i="28"/>
  <c r="D323" i="28"/>
  <c r="D322" i="28"/>
  <c r="D321" i="28"/>
  <c r="D320" i="28"/>
  <c r="D310" i="28"/>
  <c r="D309" i="28"/>
  <c r="D308" i="28"/>
  <c r="D307" i="28"/>
  <c r="D306" i="28"/>
  <c r="D296" i="28"/>
  <c r="D295" i="28"/>
  <c r="D294" i="28"/>
  <c r="D293" i="28"/>
  <c r="D292" i="28"/>
  <c r="E403" i="28"/>
  <c r="E402" i="28"/>
  <c r="E401" i="28"/>
  <c r="E400" i="28"/>
  <c r="F394" i="28"/>
  <c r="F393" i="28"/>
  <c r="F392" i="28"/>
  <c r="F391" i="28"/>
  <c r="F390" i="28"/>
  <c r="D380" i="28"/>
  <c r="D379" i="28"/>
  <c r="D378" i="28"/>
  <c r="D377" i="28"/>
  <c r="D376" i="28"/>
  <c r="D366" i="28"/>
  <c r="D365" i="28"/>
  <c r="D364" i="28"/>
  <c r="D363" i="28"/>
  <c r="D362" i="28"/>
  <c r="E265" i="28"/>
  <c r="E264" i="28"/>
  <c r="E263" i="28"/>
  <c r="E262" i="28"/>
  <c r="D252" i="28"/>
  <c r="D251" i="28"/>
  <c r="D250" i="28"/>
  <c r="D249" i="28"/>
  <c r="D248" i="28"/>
  <c r="B252" i="28"/>
  <c r="B251" i="28"/>
  <c r="C250" i="28"/>
  <c r="B250" i="28"/>
  <c r="C249" i="28"/>
  <c r="B249" i="28"/>
  <c r="B248" i="28"/>
  <c r="C265" i="28"/>
  <c r="D264" i="28"/>
  <c r="C264" i="28"/>
  <c r="D263" i="28"/>
  <c r="C263" i="28"/>
  <c r="C262" i="28"/>
  <c r="B366" i="28"/>
  <c r="B365" i="28"/>
  <c r="C364" i="28"/>
  <c r="B364" i="28"/>
  <c r="C363" i="28"/>
  <c r="B363" i="28"/>
  <c r="B362" i="28"/>
  <c r="B380" i="28"/>
  <c r="B379" i="28"/>
  <c r="C378" i="28"/>
  <c r="B378" i="28"/>
  <c r="C377" i="28"/>
  <c r="B377" i="28"/>
  <c r="B376" i="28"/>
  <c r="D394" i="28"/>
  <c r="D393" i="28"/>
  <c r="D392" i="28"/>
  <c r="D391" i="28"/>
  <c r="D390" i="28"/>
  <c r="B394" i="28"/>
  <c r="B393" i="28"/>
  <c r="B392" i="28"/>
  <c r="B391" i="28"/>
  <c r="B390" i="28"/>
  <c r="B403" i="28"/>
  <c r="B402" i="28"/>
  <c r="B401" i="28"/>
  <c r="B400" i="28"/>
  <c r="E421" i="28"/>
  <c r="E420" i="28"/>
  <c r="E419" i="28"/>
  <c r="E418" i="28"/>
  <c r="E417" i="28"/>
  <c r="B334" i="28"/>
  <c r="B335" i="28"/>
  <c r="B336" i="28"/>
  <c r="B337" i="28"/>
  <c r="B338" i="28"/>
  <c r="B324" i="28"/>
  <c r="B323" i="28"/>
  <c r="C322" i="28"/>
  <c r="B322" i="28"/>
  <c r="C321" i="28"/>
  <c r="B321" i="28"/>
  <c r="B320" i="28"/>
  <c r="B310" i="28"/>
  <c r="B309" i="28"/>
  <c r="C308" i="28"/>
  <c r="B308" i="28"/>
  <c r="C307" i="28"/>
  <c r="B307" i="28"/>
  <c r="B306" i="28"/>
  <c r="B296" i="28"/>
  <c r="B295" i="28"/>
  <c r="C294" i="28"/>
  <c r="B294" i="28"/>
  <c r="C293" i="28"/>
  <c r="B293" i="28"/>
  <c r="B292" i="28"/>
  <c r="B282" i="28"/>
  <c r="B281" i="28"/>
  <c r="B280" i="28"/>
  <c r="B279" i="28"/>
  <c r="B278" i="28"/>
  <c r="B215" i="28"/>
  <c r="B214" i="28"/>
  <c r="D213" i="28"/>
  <c r="C213" i="28"/>
  <c r="B213" i="28"/>
  <c r="D212" i="28"/>
  <c r="C212" i="28"/>
  <c r="B212" i="28"/>
  <c r="B211" i="28"/>
  <c r="B240" i="28"/>
  <c r="B239" i="28"/>
  <c r="D238" i="28"/>
  <c r="C238" i="28"/>
  <c r="B238" i="28"/>
  <c r="D237" i="28"/>
  <c r="C237" i="28"/>
  <c r="B237" i="28"/>
  <c r="B236" i="28"/>
  <c r="B227" i="28"/>
  <c r="B226" i="28"/>
  <c r="D225" i="28"/>
  <c r="C225" i="28"/>
  <c r="B225" i="28"/>
  <c r="D224" i="28"/>
  <c r="C224" i="28"/>
  <c r="B224" i="28"/>
  <c r="B223" i="28"/>
  <c r="B203" i="28"/>
  <c r="B202" i="28"/>
  <c r="D201" i="28"/>
  <c r="C201" i="28"/>
  <c r="B201" i="28"/>
  <c r="D200" i="28"/>
  <c r="C200" i="28"/>
  <c r="B200" i="28"/>
  <c r="B199" i="28"/>
  <c r="B96" i="28"/>
  <c r="B95" i="28"/>
  <c r="D94" i="28"/>
  <c r="C94" i="28"/>
  <c r="B94" i="28"/>
  <c r="D93" i="28"/>
  <c r="C93" i="28"/>
  <c r="B93" i="28"/>
  <c r="B92" i="28"/>
  <c r="B81" i="28"/>
  <c r="B80" i="28"/>
  <c r="B79" i="28"/>
  <c r="B78" i="28"/>
  <c r="B77" i="28"/>
  <c r="Q266" i="28"/>
  <c r="Q265" i="28"/>
  <c r="Q264" i="28"/>
  <c r="Q263" i="28"/>
  <c r="Q262" i="28"/>
  <c r="E269" i="28"/>
  <c r="J63" i="28" l="1"/>
  <c r="J48" i="28" s="1"/>
  <c r="E267" i="28"/>
  <c r="E268" i="28"/>
  <c r="E7" i="28" l="1"/>
  <c r="G77" i="28"/>
  <c r="C78" i="28"/>
  <c r="D78" i="28"/>
  <c r="G78" i="28"/>
  <c r="C79" i="28"/>
  <c r="D79" i="28"/>
  <c r="G79" i="28"/>
  <c r="G80" i="28"/>
  <c r="G81" i="28"/>
  <c r="F83" i="28"/>
  <c r="J92" i="28"/>
  <c r="K92" i="28"/>
  <c r="M92" i="28"/>
  <c r="P92" i="28"/>
  <c r="J93" i="28"/>
  <c r="K93" i="28"/>
  <c r="M93" i="28"/>
  <c r="P93" i="28"/>
  <c r="J94" i="28"/>
  <c r="K94" i="28"/>
  <c r="M94" i="28"/>
  <c r="P94" i="28"/>
  <c r="J95" i="28"/>
  <c r="K95" i="28"/>
  <c r="M95" i="28"/>
  <c r="P95" i="28"/>
  <c r="J96" i="28"/>
  <c r="K96" i="28"/>
  <c r="M96" i="28"/>
  <c r="P96" i="28"/>
  <c r="O97" i="28"/>
  <c r="V107" i="28"/>
  <c r="V108" i="28"/>
  <c r="V109" i="28"/>
  <c r="V110" i="28"/>
  <c r="E111" i="28"/>
  <c r="N119" i="28"/>
  <c r="C120" i="28"/>
  <c r="N120" i="28"/>
  <c r="C121" i="28"/>
  <c r="N121" i="28"/>
  <c r="N122" i="28"/>
  <c r="N123" i="28"/>
  <c r="D124" i="28"/>
  <c r="B128" i="28"/>
  <c r="D128" i="28"/>
  <c r="E128" i="28"/>
  <c r="N128" i="28" s="1"/>
  <c r="B129" i="28"/>
  <c r="C129" i="28"/>
  <c r="D129" i="28"/>
  <c r="E129" i="28"/>
  <c r="N129" i="28" s="1"/>
  <c r="B130" i="28"/>
  <c r="C130" i="28"/>
  <c r="D130" i="28"/>
  <c r="E130" i="28"/>
  <c r="N130" i="28" s="1"/>
  <c r="B131" i="28"/>
  <c r="D131" i="28"/>
  <c r="E131" i="28"/>
  <c r="N131" i="28" s="1"/>
  <c r="B132" i="28"/>
  <c r="D132" i="28"/>
  <c r="E132" i="28"/>
  <c r="N132" i="28" s="1"/>
  <c r="B136" i="28"/>
  <c r="D136" i="28"/>
  <c r="E136" i="28"/>
  <c r="N136" i="28" s="1"/>
  <c r="B137" i="28"/>
  <c r="C137" i="28"/>
  <c r="D137" i="28"/>
  <c r="E137" i="28"/>
  <c r="N137" i="28" s="1"/>
  <c r="B138" i="28"/>
  <c r="C138" i="28"/>
  <c r="D138" i="28"/>
  <c r="E138" i="28"/>
  <c r="N138" i="28" s="1"/>
  <c r="B139" i="28"/>
  <c r="D139" i="28"/>
  <c r="E139" i="28"/>
  <c r="N139" i="28" s="1"/>
  <c r="B140" i="28"/>
  <c r="D140" i="28"/>
  <c r="E140" i="28"/>
  <c r="N140" i="28" s="1"/>
  <c r="B144" i="28"/>
  <c r="D144" i="28"/>
  <c r="E144" i="28"/>
  <c r="N144" i="28" s="1"/>
  <c r="B145" i="28"/>
  <c r="C145" i="28"/>
  <c r="D145" i="28"/>
  <c r="E145" i="28"/>
  <c r="N145" i="28" s="1"/>
  <c r="B146" i="28"/>
  <c r="C146" i="28"/>
  <c r="D146" i="28"/>
  <c r="E146" i="28"/>
  <c r="N146" i="28" s="1"/>
  <c r="B147" i="28"/>
  <c r="D147" i="28"/>
  <c r="E147" i="28"/>
  <c r="N147" i="28" s="1"/>
  <c r="B148" i="28"/>
  <c r="D148" i="28"/>
  <c r="E148" i="28"/>
  <c r="N148" i="28" s="1"/>
  <c r="B152" i="28"/>
  <c r="D152" i="28"/>
  <c r="E152" i="28"/>
  <c r="N152" i="28" s="1"/>
  <c r="B153" i="28"/>
  <c r="C153" i="28"/>
  <c r="D153" i="28"/>
  <c r="E153" i="28"/>
  <c r="N153" i="28" s="1"/>
  <c r="B154" i="28"/>
  <c r="C154" i="28"/>
  <c r="D154" i="28"/>
  <c r="E154" i="28"/>
  <c r="N154" i="28" s="1"/>
  <c r="B155" i="28"/>
  <c r="D155" i="28"/>
  <c r="E155" i="28"/>
  <c r="N155" i="28" s="1"/>
  <c r="B156" i="28"/>
  <c r="D156" i="28"/>
  <c r="E156" i="28"/>
  <c r="N156" i="28" s="1"/>
  <c r="B160" i="28"/>
  <c r="D160" i="28"/>
  <c r="E160" i="28"/>
  <c r="N160" i="28" s="1"/>
  <c r="B161" i="28"/>
  <c r="C161" i="28"/>
  <c r="D161" i="28"/>
  <c r="E161" i="28"/>
  <c r="N161" i="28" s="1"/>
  <c r="B162" i="28"/>
  <c r="C162" i="28"/>
  <c r="D162" i="28"/>
  <c r="E162" i="28"/>
  <c r="N162" i="28" s="1"/>
  <c r="B163" i="28"/>
  <c r="D163" i="28"/>
  <c r="E163" i="28"/>
  <c r="N163" i="28" s="1"/>
  <c r="B164" i="28"/>
  <c r="D164" i="28"/>
  <c r="E164" i="28"/>
  <c r="N164" i="28" s="1"/>
  <c r="B168" i="28"/>
  <c r="D168" i="28"/>
  <c r="E168" i="28"/>
  <c r="N168" i="28" s="1"/>
  <c r="B169" i="28"/>
  <c r="C169" i="28"/>
  <c r="D169" i="28"/>
  <c r="E169" i="28"/>
  <c r="N169" i="28" s="1"/>
  <c r="B170" i="28"/>
  <c r="C170" i="28"/>
  <c r="D170" i="28"/>
  <c r="E170" i="28"/>
  <c r="N170" i="28" s="1"/>
  <c r="B171" i="28"/>
  <c r="D171" i="28"/>
  <c r="E171" i="28"/>
  <c r="N171" i="28" s="1"/>
  <c r="B172" i="28"/>
  <c r="D172" i="28"/>
  <c r="E172" i="28"/>
  <c r="N172" i="28" s="1"/>
  <c r="B176" i="28"/>
  <c r="D176" i="28"/>
  <c r="E176" i="28"/>
  <c r="N176" i="28" s="1"/>
  <c r="B177" i="28"/>
  <c r="C177" i="28"/>
  <c r="D177" i="28"/>
  <c r="E177" i="28"/>
  <c r="N177" i="28" s="1"/>
  <c r="B178" i="28"/>
  <c r="C178" i="28"/>
  <c r="D178" i="28"/>
  <c r="E178" i="28"/>
  <c r="N178" i="28" s="1"/>
  <c r="B179" i="28"/>
  <c r="D179" i="28"/>
  <c r="E179" i="28"/>
  <c r="N179" i="28" s="1"/>
  <c r="B180" i="28"/>
  <c r="D180" i="28"/>
  <c r="E180" i="28"/>
  <c r="N180" i="28" s="1"/>
  <c r="B184" i="28"/>
  <c r="D184" i="28"/>
  <c r="E184" i="28"/>
  <c r="N184" i="28" s="1"/>
  <c r="B185" i="28"/>
  <c r="C185" i="28"/>
  <c r="D185" i="28"/>
  <c r="E185" i="28"/>
  <c r="N185" i="28" s="1"/>
  <c r="B186" i="28"/>
  <c r="C186" i="28"/>
  <c r="D186" i="28"/>
  <c r="E186" i="28"/>
  <c r="N186" i="28" s="1"/>
  <c r="B187" i="28"/>
  <c r="D187" i="28"/>
  <c r="E187" i="28"/>
  <c r="N187" i="28" s="1"/>
  <c r="B188" i="28"/>
  <c r="D188" i="28"/>
  <c r="E188" i="28"/>
  <c r="N188" i="28" s="1"/>
  <c r="G199" i="28"/>
  <c r="J199" i="28"/>
  <c r="M199" i="28"/>
  <c r="G200" i="28"/>
  <c r="J200" i="28"/>
  <c r="M200" i="28"/>
  <c r="G201" i="28"/>
  <c r="J201" i="28"/>
  <c r="M201" i="28"/>
  <c r="G202" i="28"/>
  <c r="J202" i="28"/>
  <c r="M202" i="28"/>
  <c r="G203" i="28"/>
  <c r="J203" i="28"/>
  <c r="M203" i="28"/>
  <c r="F204" i="28"/>
  <c r="I204" i="28"/>
  <c r="L204" i="28"/>
  <c r="I211" i="28"/>
  <c r="I212" i="28"/>
  <c r="I213" i="28"/>
  <c r="I214" i="28"/>
  <c r="I215" i="28"/>
  <c r="G216" i="28"/>
  <c r="I216" i="28"/>
  <c r="J206" i="28" s="1"/>
  <c r="E17" i="28" s="1"/>
  <c r="E12" i="13" s="1"/>
  <c r="H223" i="28"/>
  <c r="H224" i="28"/>
  <c r="H225" i="28"/>
  <c r="H226" i="28"/>
  <c r="H227" i="28"/>
  <c r="G228" i="28"/>
  <c r="M236" i="28"/>
  <c r="M237" i="28"/>
  <c r="M238" i="28"/>
  <c r="M239" i="28"/>
  <c r="M240" i="28"/>
  <c r="E241" i="28"/>
  <c r="T348" i="28"/>
  <c r="T349" i="28"/>
  <c r="T350" i="28"/>
  <c r="T351" i="28"/>
  <c r="T352" i="28"/>
  <c r="E353" i="28"/>
  <c r="Q278" i="28"/>
  <c r="C279" i="28"/>
  <c r="Q279" i="28"/>
  <c r="C280" i="28"/>
  <c r="Q280" i="28"/>
  <c r="Q281" i="28"/>
  <c r="Q282" i="28"/>
  <c r="F292" i="28"/>
  <c r="F293" i="28"/>
  <c r="F294" i="28"/>
  <c r="F295" i="28"/>
  <c r="F296" i="28"/>
  <c r="O306" i="28"/>
  <c r="O307" i="28"/>
  <c r="O308" i="28"/>
  <c r="O309" i="28"/>
  <c r="O310" i="28"/>
  <c r="M320" i="28"/>
  <c r="M321" i="28"/>
  <c r="M322" i="28"/>
  <c r="M323" i="28"/>
  <c r="M324" i="28"/>
  <c r="R334" i="28"/>
  <c r="R335" i="28"/>
  <c r="R336" i="28"/>
  <c r="R337" i="28"/>
  <c r="R338" i="28"/>
  <c r="V362" i="28"/>
  <c r="V363" i="28"/>
  <c r="V364" i="28"/>
  <c r="V365" i="28"/>
  <c r="V366" i="28"/>
  <c r="R376" i="28"/>
  <c r="R377" i="28"/>
  <c r="R378" i="28"/>
  <c r="R379" i="28"/>
  <c r="R380" i="28"/>
  <c r="S390" i="28"/>
  <c r="T391" i="28"/>
  <c r="E391" i="28"/>
  <c r="T392" i="28"/>
  <c r="E392" i="28"/>
  <c r="S393" i="28"/>
  <c r="S394" i="28"/>
  <c r="H248" i="28"/>
  <c r="H249" i="28"/>
  <c r="H250" i="28"/>
  <c r="H251" i="28"/>
  <c r="H252" i="28"/>
  <c r="F253" i="28"/>
  <c r="Q400" i="28"/>
  <c r="Q401" i="28"/>
  <c r="Q402" i="28"/>
  <c r="Q403" i="28"/>
  <c r="Q404" i="28"/>
  <c r="O417" i="28"/>
  <c r="O418" i="28"/>
  <c r="O419" i="28"/>
  <c r="O420" i="28"/>
  <c r="O421" i="28"/>
  <c r="D422" i="28"/>
  <c r="F436" i="28"/>
  <c r="I444" i="28"/>
  <c r="M444" i="28"/>
  <c r="E449" i="28"/>
  <c r="J451" i="28"/>
  <c r="L469" i="28"/>
  <c r="L470" i="28"/>
  <c r="L471" i="28"/>
  <c r="L472" i="28"/>
  <c r="L473" i="28"/>
  <c r="D474" i="28"/>
  <c r="B478" i="28"/>
  <c r="D478" i="28"/>
  <c r="E478" i="28"/>
  <c r="L478" i="28"/>
  <c r="B479" i="28"/>
  <c r="C479" i="28"/>
  <c r="D479" i="28"/>
  <c r="E479" i="28"/>
  <c r="L479" i="28"/>
  <c r="B480" i="28"/>
  <c r="C480" i="28"/>
  <c r="D480" i="28"/>
  <c r="E480" i="28"/>
  <c r="L480" i="28"/>
  <c r="B481" i="28"/>
  <c r="D481" i="28"/>
  <c r="E481" i="28"/>
  <c r="L481" i="28"/>
  <c r="B482" i="28"/>
  <c r="D482" i="28"/>
  <c r="E482" i="28"/>
  <c r="L482" i="28"/>
  <c r="B486" i="28"/>
  <c r="D486" i="28"/>
  <c r="E486" i="28"/>
  <c r="L486" i="28"/>
  <c r="B487" i="28"/>
  <c r="C487" i="28"/>
  <c r="D487" i="28"/>
  <c r="E487" i="28"/>
  <c r="L487" i="28"/>
  <c r="B488" i="28"/>
  <c r="C488" i="28"/>
  <c r="D488" i="28"/>
  <c r="E488" i="28"/>
  <c r="L488" i="28"/>
  <c r="B489" i="28"/>
  <c r="D489" i="28"/>
  <c r="E489" i="28"/>
  <c r="L489" i="28"/>
  <c r="B490" i="28"/>
  <c r="D490" i="28"/>
  <c r="E490" i="28"/>
  <c r="B494" i="28"/>
  <c r="D494" i="28"/>
  <c r="E494" i="28"/>
  <c r="L494" i="28"/>
  <c r="B495" i="28"/>
  <c r="C495" i="28"/>
  <c r="D495" i="28"/>
  <c r="E495" i="28"/>
  <c r="L495" i="28"/>
  <c r="B496" i="28"/>
  <c r="C496" i="28"/>
  <c r="D496" i="28"/>
  <c r="E496" i="28"/>
  <c r="L496" i="28"/>
  <c r="B497" i="28"/>
  <c r="D497" i="28"/>
  <c r="E497" i="28"/>
  <c r="L497" i="28"/>
  <c r="B498" i="28"/>
  <c r="D498" i="28"/>
  <c r="E498" i="28"/>
  <c r="L498" i="28"/>
  <c r="B502" i="28"/>
  <c r="D502" i="28"/>
  <c r="E502" i="28"/>
  <c r="L502" i="28"/>
  <c r="B503" i="28"/>
  <c r="C503" i="28"/>
  <c r="D503" i="28"/>
  <c r="E503" i="28"/>
  <c r="L503" i="28"/>
  <c r="B504" i="28"/>
  <c r="C504" i="28"/>
  <c r="D504" i="28"/>
  <c r="E504" i="28"/>
  <c r="L504" i="28"/>
  <c r="B505" i="28"/>
  <c r="D505" i="28"/>
  <c r="E505" i="28"/>
  <c r="L505" i="28"/>
  <c r="B506" i="28"/>
  <c r="D506" i="28"/>
  <c r="E506" i="28"/>
  <c r="L506" i="28"/>
  <c r="B510" i="28"/>
  <c r="D510" i="28"/>
  <c r="E510" i="28"/>
  <c r="L510" i="28"/>
  <c r="B511" i="28"/>
  <c r="C511" i="28"/>
  <c r="D511" i="28"/>
  <c r="E511" i="28"/>
  <c r="L511" i="28"/>
  <c r="B512" i="28"/>
  <c r="C512" i="28"/>
  <c r="D512" i="28"/>
  <c r="E512" i="28"/>
  <c r="L512" i="28"/>
  <c r="B513" i="28"/>
  <c r="D513" i="28"/>
  <c r="E513" i="28"/>
  <c r="L513" i="28"/>
  <c r="B514" i="28"/>
  <c r="D514" i="28"/>
  <c r="E514" i="28"/>
  <c r="L514" i="28"/>
  <c r="B518" i="28"/>
  <c r="D518" i="28"/>
  <c r="E518" i="28"/>
  <c r="L518" i="28"/>
  <c r="B519" i="28"/>
  <c r="C519" i="28"/>
  <c r="D519" i="28"/>
  <c r="E519" i="28"/>
  <c r="L519" i="28"/>
  <c r="B520" i="28"/>
  <c r="C520" i="28"/>
  <c r="D520" i="28"/>
  <c r="E520" i="28"/>
  <c r="L520" i="28"/>
  <c r="B521" i="28"/>
  <c r="D521" i="28"/>
  <c r="E521" i="28"/>
  <c r="L521" i="28"/>
  <c r="B522" i="28"/>
  <c r="D522" i="28"/>
  <c r="E522" i="28"/>
  <c r="L522" i="28"/>
  <c r="B526" i="28"/>
  <c r="D526" i="28"/>
  <c r="E526" i="28"/>
  <c r="L526" i="28"/>
  <c r="B527" i="28"/>
  <c r="C527" i="28"/>
  <c r="D527" i="28"/>
  <c r="E527" i="28"/>
  <c r="L527" i="28"/>
  <c r="B528" i="28"/>
  <c r="C528" i="28"/>
  <c r="D528" i="28"/>
  <c r="E528" i="28"/>
  <c r="L528" i="28"/>
  <c r="B529" i="28"/>
  <c r="D529" i="28"/>
  <c r="E529" i="28"/>
  <c r="L529" i="28"/>
  <c r="B530" i="28"/>
  <c r="D530" i="28"/>
  <c r="E530" i="28"/>
  <c r="L530" i="28"/>
  <c r="B534" i="28"/>
  <c r="D534" i="28"/>
  <c r="E534" i="28"/>
  <c r="L534" i="28"/>
  <c r="B535" i="28"/>
  <c r="C535" i="28"/>
  <c r="D535" i="28"/>
  <c r="E535" i="28"/>
  <c r="L535" i="28"/>
  <c r="B536" i="28"/>
  <c r="C536" i="28"/>
  <c r="D536" i="28"/>
  <c r="E536" i="28"/>
  <c r="L536" i="28"/>
  <c r="B537" i="28"/>
  <c r="D537" i="28"/>
  <c r="E537" i="28"/>
  <c r="L537" i="28"/>
  <c r="B538" i="28"/>
  <c r="D538" i="28"/>
  <c r="E538" i="28"/>
  <c r="L538" i="28"/>
  <c r="C31" i="27"/>
  <c r="D15" i="27"/>
  <c r="D13" i="27"/>
  <c r="E9" i="13" l="1"/>
  <c r="C9" i="26"/>
  <c r="F9" i="26" s="1"/>
  <c r="C16" i="26"/>
  <c r="E39" i="28"/>
  <c r="C35" i="26"/>
  <c r="J9" i="26"/>
  <c r="D9" i="26"/>
  <c r="H9" i="26"/>
  <c r="S391" i="28"/>
  <c r="D367" i="28"/>
  <c r="D253" i="28"/>
  <c r="L93" i="28"/>
  <c r="T394" i="28"/>
  <c r="J424" i="28"/>
  <c r="T393" i="28"/>
  <c r="J204" i="28"/>
  <c r="H192" i="28" s="1"/>
  <c r="N124" i="28"/>
  <c r="T353" i="28"/>
  <c r="J341" i="28" s="1"/>
  <c r="G83" i="28"/>
  <c r="J73" i="28" s="1"/>
  <c r="L96" i="28"/>
  <c r="L92" i="28"/>
  <c r="O204" i="28"/>
  <c r="G204" i="28"/>
  <c r="H191" i="28" s="1"/>
  <c r="P97" i="28"/>
  <c r="H86" i="28" s="1"/>
  <c r="O422" i="28"/>
  <c r="J409" i="28" s="1"/>
  <c r="E407" i="28"/>
  <c r="H228" i="28"/>
  <c r="J218" i="28" s="1"/>
  <c r="E18" i="28" s="1"/>
  <c r="J97" i="28"/>
  <c r="L95" i="28"/>
  <c r="M204" i="28"/>
  <c r="H193" i="28" s="1"/>
  <c r="D339" i="28"/>
  <c r="D531" i="28"/>
  <c r="L531" i="28" s="1"/>
  <c r="D515" i="28"/>
  <c r="L515" i="28" s="1"/>
  <c r="D499" i="28"/>
  <c r="L499" i="28" s="1"/>
  <c r="D483" i="28"/>
  <c r="L483" i="28" s="1"/>
  <c r="L474" i="28"/>
  <c r="E405" i="28"/>
  <c r="T390" i="28"/>
  <c r="D325" i="28"/>
  <c r="M241" i="28"/>
  <c r="J230" i="28" s="1"/>
  <c r="E19" i="28" s="1"/>
  <c r="L94" i="28"/>
  <c r="D539" i="28"/>
  <c r="L539" i="28" s="1"/>
  <c r="D523" i="28"/>
  <c r="L523" i="28" s="1"/>
  <c r="D507" i="28"/>
  <c r="L507" i="28" s="1"/>
  <c r="D491" i="28"/>
  <c r="S392" i="28"/>
  <c r="M325" i="28"/>
  <c r="J313" i="28" s="1"/>
  <c r="E29" i="28" s="1"/>
  <c r="E25" i="13" s="1"/>
  <c r="E406" i="28"/>
  <c r="D283" i="28"/>
  <c r="H257" i="28"/>
  <c r="H253" i="28"/>
  <c r="J243" i="28" s="1"/>
  <c r="E22" i="28" s="1"/>
  <c r="E13" i="13" s="1"/>
  <c r="D381" i="28"/>
  <c r="D311" i="28"/>
  <c r="Q283" i="28"/>
  <c r="J271" i="28" s="1"/>
  <c r="E26" i="28" s="1"/>
  <c r="E26" i="13" s="1"/>
  <c r="V111" i="28"/>
  <c r="J99" i="28" s="1"/>
  <c r="E12" i="28" s="1"/>
  <c r="N141" i="28"/>
  <c r="N149" i="28"/>
  <c r="F297" i="28"/>
  <c r="J286" i="28" s="1"/>
  <c r="E27" i="28" s="1"/>
  <c r="E22" i="13" s="1"/>
  <c r="N173" i="28"/>
  <c r="N165" i="28"/>
  <c r="N133" i="28"/>
  <c r="N157" i="28"/>
  <c r="N189" i="28"/>
  <c r="N181" i="28"/>
  <c r="H256" i="28"/>
  <c r="R381" i="28"/>
  <c r="J369" i="28" s="1"/>
  <c r="V367" i="28"/>
  <c r="J355" i="28" s="1"/>
  <c r="R339" i="28"/>
  <c r="J327" i="28" s="1"/>
  <c r="E30" i="28" s="1"/>
  <c r="E24" i="13" s="1"/>
  <c r="O311" i="28"/>
  <c r="J299" i="28" s="1"/>
  <c r="E28" i="28" s="1"/>
  <c r="E23" i="13" s="1"/>
  <c r="K97" i="28"/>
  <c r="H255" i="28"/>
  <c r="F395" i="28"/>
  <c r="D297" i="28"/>
  <c r="D49" i="27"/>
  <c r="D51" i="27" s="1"/>
  <c r="D44" i="27"/>
  <c r="D47" i="27" s="1"/>
  <c r="C30" i="27"/>
  <c r="C32" i="27" s="1"/>
  <c r="C13" i="26" l="1"/>
  <c r="E10" i="28"/>
  <c r="E11" i="13" s="1"/>
  <c r="E33" i="28"/>
  <c r="E38" i="28"/>
  <c r="E35" i="28"/>
  <c r="E31" i="13" s="1"/>
  <c r="E37" i="28"/>
  <c r="E34" i="28"/>
  <c r="E29" i="13" s="1"/>
  <c r="C18" i="26"/>
  <c r="C21" i="26"/>
  <c r="C17" i="26"/>
  <c r="C27" i="26"/>
  <c r="C23" i="26"/>
  <c r="C24" i="26"/>
  <c r="C26" i="26"/>
  <c r="C25" i="26"/>
  <c r="S395" i="28"/>
  <c r="H383" i="28" s="1"/>
  <c r="T395" i="28"/>
  <c r="H384" i="28" s="1"/>
  <c r="L97" i="28"/>
  <c r="J463" i="28"/>
  <c r="J191" i="28"/>
  <c r="E16" i="28" s="1"/>
  <c r="E19" i="13" s="1"/>
  <c r="E31" i="28"/>
  <c r="J113" i="28"/>
  <c r="E13" i="28" s="1"/>
  <c r="E16" i="13" s="1"/>
  <c r="J255" i="28"/>
  <c r="E23" i="28" s="1"/>
  <c r="E18" i="13" s="1"/>
  <c r="C29" i="26" l="1"/>
  <c r="C14" i="26"/>
  <c r="C11" i="26"/>
  <c r="C30" i="26"/>
  <c r="H23" i="26"/>
  <c r="C34" i="26"/>
  <c r="C32" i="26"/>
  <c r="C33" i="26"/>
  <c r="E40" i="28"/>
  <c r="M97" i="28"/>
  <c r="H85" i="28" s="1"/>
  <c r="J85" i="28" s="1"/>
  <c r="E11" i="28" s="1"/>
  <c r="C12" i="26" s="1"/>
  <c r="J383" i="28"/>
  <c r="E20" i="28"/>
  <c r="C20" i="26"/>
  <c r="W30" i="13"/>
  <c r="X30" i="13"/>
  <c r="V29" i="13"/>
  <c r="W31" i="13"/>
  <c r="V31" i="13"/>
  <c r="X29" i="13"/>
  <c r="U30" i="13"/>
  <c r="V30" i="13"/>
  <c r="U31" i="13"/>
  <c r="W29" i="13"/>
  <c r="U29" i="13"/>
  <c r="T30" i="13"/>
  <c r="X31" i="13"/>
  <c r="T31" i="13"/>
  <c r="T29" i="13"/>
  <c r="E24" i="28"/>
  <c r="C19" i="26"/>
  <c r="F16" i="26" l="1"/>
  <c r="F39" i="26" s="1"/>
  <c r="D11" i="26"/>
  <c r="D39" i="26" s="1"/>
  <c r="H39" i="26"/>
  <c r="E14" i="28"/>
  <c r="C36" i="26"/>
  <c r="E36" i="28"/>
  <c r="E30" i="13" s="1"/>
  <c r="J73" i="26"/>
  <c r="J68" i="26"/>
  <c r="E41" i="28" l="1"/>
  <c r="C31" i="26"/>
  <c r="J29" i="26" s="1"/>
  <c r="T9" i="13"/>
  <c r="J39" i="26" l="1"/>
  <c r="X9" i="13"/>
  <c r="U9" i="13"/>
  <c r="V9" i="13"/>
  <c r="W9" i="13"/>
  <c r="G9" i="13"/>
  <c r="H9" i="13"/>
  <c r="I9" i="13"/>
  <c r="O9" i="13"/>
  <c r="K9" i="13"/>
  <c r="M9" i="13"/>
  <c r="N9" i="13"/>
  <c r="F9" i="13"/>
  <c r="J9" i="13"/>
  <c r="P9" i="13"/>
  <c r="Q9" i="13"/>
  <c r="R9" i="13"/>
  <c r="P24" i="13" l="1"/>
  <c r="G13" i="13" l="1"/>
  <c r="F13" i="13"/>
  <c r="I16" i="13"/>
  <c r="K17" i="13" l="1"/>
  <c r="K18" i="13"/>
  <c r="J18" i="13"/>
  <c r="I18" i="13"/>
  <c r="J17" i="13"/>
  <c r="V28" i="13" l="1"/>
  <c r="W28" i="13"/>
  <c r="T28" i="13"/>
  <c r="U28" i="13"/>
  <c r="X28" i="13"/>
  <c r="H14" i="13" l="1"/>
  <c r="H37" i="13" s="1"/>
  <c r="X34" i="13" l="1"/>
  <c r="T34" i="13"/>
  <c r="U34" i="13"/>
  <c r="W34" i="13"/>
  <c r="V34" i="13"/>
  <c r="T35" i="13" l="1"/>
  <c r="V35" i="13"/>
  <c r="W35" i="13"/>
  <c r="X35" i="13"/>
  <c r="U35" i="13"/>
  <c r="T32" i="13" l="1"/>
  <c r="V32" i="13"/>
  <c r="X32" i="13"/>
  <c r="W32" i="13"/>
  <c r="U32" i="13"/>
  <c r="T33" i="13"/>
  <c r="X33" i="13"/>
  <c r="W33" i="13"/>
  <c r="U33" i="13"/>
  <c r="V33" i="13"/>
  <c r="P25" i="13"/>
  <c r="P37" i="13" s="1"/>
  <c r="W37" i="13" l="1"/>
  <c r="X37" i="13"/>
  <c r="V37" i="13"/>
  <c r="U37" i="13"/>
  <c r="T37" i="13"/>
  <c r="N23" i="13"/>
  <c r="M23" i="13"/>
  <c r="O23" i="13"/>
  <c r="N22" i="13" l="1"/>
  <c r="O22" i="13"/>
  <c r="M22" i="13"/>
  <c r="J19" i="13"/>
  <c r="K19" i="13"/>
  <c r="I19" i="13"/>
  <c r="O24" i="13"/>
  <c r="N24" i="13"/>
  <c r="M24" i="13"/>
  <c r="R26" i="13"/>
  <c r="R37" i="13" s="1"/>
  <c r="K20" i="13"/>
  <c r="J20" i="13"/>
  <c r="I17" i="13"/>
  <c r="M37" i="13" l="1"/>
  <c r="J37" i="13"/>
  <c r="O37" i="13"/>
  <c r="K37" i="13"/>
  <c r="N37" i="13"/>
  <c r="Q26" i="13"/>
  <c r="Q37" i="13" s="1"/>
  <c r="I15" i="13"/>
  <c r="I37" i="13" s="1"/>
  <c r="F12" i="13" l="1"/>
  <c r="G12" i="13" l="1"/>
  <c r="F11" i="13"/>
  <c r="F37" i="13" s="1"/>
  <c r="G11" i="13" l="1"/>
  <c r="G37" i="13" l="1"/>
  <c r="Y3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B55" authorId="0" shapeId="0" xr:uid="{A24CDF2C-358C-42D9-9BE3-AC06994796F4}">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"Revenue" worksheets in those project proposals.</t>
        </r>
      </text>
    </comment>
    <comment ref="B56" authorId="0" shapeId="0" xr:uid="{51F86B67-1C30-4A00-896E-ECB517E79DC7}">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"Expenses" worksheets in those project proposals.</t>
        </r>
      </text>
    </comment>
    <comment ref="B57" authorId="0" shapeId="0" xr:uid="{8F0E34DD-7598-4E2D-9C11-3AAF2AE7ECE3}">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"Risk Analysis" worksheets in those project proposals.</t>
        </r>
      </text>
    </comment>
    <comment ref="B58" authorId="0" shapeId="0" xr:uid="{3F04A626-F8EC-408C-8BEA-F5F7BEF8FBE2}">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increases in market capitalization shown in "Asset &amp; Market Values" worksheets in those project proposals.</t>
        </r>
      </text>
    </comment>
    <comment ref="B61" authorId="0" shapeId="0" xr:uid="{E9AA258F-FEA7-469B-96BD-627AFBE30397}">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2" authorId="0" shapeId="0" xr:uid="{364BC309-882A-4931-B7F8-11B0549CCCE5}">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3" authorId="0" shapeId="0" xr:uid="{A0C52356-25D2-4A57-B577-06A1687FC14B}">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4" authorId="0" shapeId="0" xr:uid="{263544F8-A3B7-4BF8-8EFC-20924C86FBEC}">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5" authorId="0" shapeId="0" xr:uid="{E5010F2C-07BC-4F37-B1CE-1BB819340AA5}">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6" authorId="0" shapeId="0" xr:uid="{502D1A4B-3B19-41B5-86CF-8A6D02556699}">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List>
</comments>
</file>

<file path=xl/sharedStrings.xml><?xml version="1.0" encoding="utf-8"?>
<sst xmlns="http://schemas.openxmlformats.org/spreadsheetml/2006/main" count="2172" uniqueCount="840">
  <si>
    <t>Legend</t>
  </si>
  <si>
    <t>Water</t>
  </si>
  <si>
    <t>Encroachment</t>
  </si>
  <si>
    <t>Yes</t>
  </si>
  <si>
    <t>No</t>
  </si>
  <si>
    <t>Comments</t>
  </si>
  <si>
    <t>Employee wages</t>
  </si>
  <si>
    <t>Work-related fatalities</t>
  </si>
  <si>
    <t>Company name</t>
  </si>
  <si>
    <t>Date founded</t>
  </si>
  <si>
    <t xml:space="preserve">Company website </t>
  </si>
  <si>
    <t>Main phone number</t>
  </si>
  <si>
    <t>Company description</t>
  </si>
  <si>
    <t xml:space="preserve">Company Profile </t>
  </si>
  <si>
    <t>Partially</t>
  </si>
  <si>
    <t>Company sector</t>
  </si>
  <si>
    <t xml:space="preserve">Lobbying </t>
  </si>
  <si>
    <t>Business ethics</t>
  </si>
  <si>
    <t>Employee discrimination</t>
  </si>
  <si>
    <t>Employee health and wellbeing</t>
  </si>
  <si>
    <t>Employee concerns process</t>
  </si>
  <si>
    <t>Employee employment terms</t>
  </si>
  <si>
    <t xml:space="preserve">Main / headquarters address </t>
  </si>
  <si>
    <t>White  fields are used for instructions, explanations, or labels for adjacent fields</t>
  </si>
  <si>
    <t>Overall score</t>
  </si>
  <si>
    <t>Manufacturing</t>
  </si>
  <si>
    <t>Employee-related SDGs</t>
  </si>
  <si>
    <t>Environment-related SDGs</t>
  </si>
  <si>
    <t>Energy</t>
  </si>
  <si>
    <t>Scores on each SDG</t>
  </si>
  <si>
    <t>SDG Scores</t>
  </si>
  <si>
    <t>We provide sustainable appliances, equipment and services that enable our customers to fulfill their purpose.</t>
  </si>
  <si>
    <t xml:space="preserve">Yellow fields are for user input. Starting values are just examples to illustrate how the formulas work. Overwrite them with real company data. </t>
  </si>
  <si>
    <t xml:space="preserve">Top 5 Priority SDGs for us </t>
  </si>
  <si>
    <t>Our rationale for prioritizing this SDG</t>
  </si>
  <si>
    <t>SDG 13: Climate Action</t>
  </si>
  <si>
    <t>SDG 7: Affordable and Clean Energy</t>
  </si>
  <si>
    <t>SDG 12: Responsible Consumption and Production</t>
  </si>
  <si>
    <t>SDG 5: Gender Equality</t>
  </si>
  <si>
    <t>SDG 11. Sustainable Cities and Communities</t>
  </si>
  <si>
    <t>Legend used in the worksheets</t>
  </si>
  <si>
    <t>Light purple fields are auto-calculated or auto-filled with the content of other fields. Any user entries in these cells will overwrite their formulas.</t>
  </si>
  <si>
    <t>Light purple fields are auto-calculated based on the content of other fields. Any user entries in these cells will overwrite their formulas.</t>
  </si>
  <si>
    <t>Governance</t>
  </si>
  <si>
    <t>Count of checks in each column</t>
  </si>
  <si>
    <t>We support the transition to a circular economy that treats waste as a resource, stops pollution and reduces the need for raw natural resources.</t>
  </si>
  <si>
    <t>Lobbying</t>
  </si>
  <si>
    <t>SASB Materiality Map®</t>
  </si>
  <si>
    <t>A low-carbon economy is powered by low-impact renewable energy. The SASB Materiality Map includes this area for our industry.</t>
  </si>
  <si>
    <t xml:space="preserve">Governance </t>
  </si>
  <si>
    <t>Total revenue / gross sales</t>
  </si>
  <si>
    <t>Average 
score</t>
  </si>
  <si>
    <t>Sustainability / ESG Issues</t>
  </si>
  <si>
    <t xml:space="preserve"> Society-related SDGs</t>
  </si>
  <si>
    <t xml:space="preserve"> </t>
  </si>
  <si>
    <t>Total number of full-time employees</t>
  </si>
  <si>
    <t>Number of part-time employees | % of total workforce</t>
  </si>
  <si>
    <t>Net income / profit  |  % profit</t>
  </si>
  <si>
    <t>% of owners who are women</t>
  </si>
  <si>
    <t>Contact information for the executive who acknowledges the integrity of the completed assessment.</t>
  </si>
  <si>
    <t>% of owners who are indigenous people</t>
  </si>
  <si>
    <t xml:space="preserve"> (Check one of the three choices)</t>
  </si>
  <si>
    <r>
      <rPr>
        <b/>
        <sz val="11"/>
        <color theme="1" tint="0.249977111117893"/>
        <rFont val="Franklin Gothic Book"/>
        <family val="2"/>
      </rPr>
      <t>Governance practices</t>
    </r>
    <r>
      <rPr>
        <sz val="11"/>
        <color theme="1" tint="0.249977111117893"/>
        <rFont val="Franklin Gothic Book"/>
        <family val="2"/>
      </rPr>
      <t xml:space="preserve">
To what extent has your company embedded sustainability in its governance practices?</t>
    </r>
  </si>
  <si>
    <t xml:space="preserve">User Guidance </t>
  </si>
  <si>
    <t>Financial Capital</t>
  </si>
  <si>
    <t>Annual</t>
  </si>
  <si>
    <r>
      <rPr>
        <b/>
        <sz val="12"/>
        <color theme="1" tint="0.249977111117893"/>
        <rFont val="Franklin Gothic Book"/>
        <family val="2"/>
      </rPr>
      <t xml:space="preserve">Risks </t>
    </r>
    <r>
      <rPr>
        <sz val="12"/>
        <color theme="1" tint="0.249977111117893"/>
        <rFont val="Franklin Gothic Book"/>
        <family val="2"/>
      </rPr>
      <t>in Management Discussion &amp; Analysis (MD&amp;A) section</t>
    </r>
    <r>
      <rPr>
        <sz val="11"/>
        <color theme="1" tint="0.249977111117893"/>
        <rFont val="Franklin Gothic Book"/>
        <family val="2"/>
      </rPr>
      <t xml:space="preserve">
    Highlight risks mitigated as a result of sustainability-related projects. For example:
    •  Value of avoiding risks of revenue erosion because of lost reputation
    •  Value of avoiding risks of expense increases
    •  Value of avoiding risks to asset values
    •  Value of avoiding risks to market capitalization</t>
    </r>
  </si>
  <si>
    <r>
      <rPr>
        <b/>
        <sz val="12"/>
        <color theme="1" tint="0.249977111117893"/>
        <rFont val="Franklin Gothic Book"/>
        <family val="2"/>
      </rPr>
      <t xml:space="preserve"> Market Capitalization</t>
    </r>
    <r>
      <rPr>
        <sz val="11"/>
        <color theme="1" tint="0.249977111117893"/>
        <rFont val="Franklin Gothic Book"/>
        <family val="2"/>
      </rPr>
      <t xml:space="preserve">
    Highlight increase in market cap that is the indirect result of 
    sustainability-related projects and brand. </t>
    </r>
  </si>
  <si>
    <t>Manufactured Capital</t>
  </si>
  <si>
    <t>Change in value at  year end</t>
  </si>
  <si>
    <r>
      <rPr>
        <b/>
        <sz val="12"/>
        <color theme="1" tint="0.249977111117893"/>
        <rFont val="Franklin Gothic Book"/>
        <family val="2"/>
      </rPr>
      <t>Company-owned real estate</t>
    </r>
    <r>
      <rPr>
        <sz val="12"/>
        <color theme="1" tint="0.249977111117893"/>
        <rFont val="Franklin Gothic Book"/>
        <family val="2"/>
      </rPr>
      <t xml:space="preserve">
     </t>
    </r>
    <r>
      <rPr>
        <sz val="12"/>
        <color theme="7" tint="-0.249977111117893"/>
        <rFont val="Franklin Gothic Book"/>
        <family val="2"/>
      </rPr>
      <t>Highlight increased value as a result of sustainability-related projects
     e.g., green building retrofits</t>
    </r>
  </si>
  <si>
    <r>
      <rPr>
        <b/>
        <sz val="12"/>
        <color theme="1" tint="0.249977111117893"/>
        <rFont val="Franklin Gothic Book"/>
        <family val="2"/>
      </rPr>
      <t>Company-owned vehicles</t>
    </r>
    <r>
      <rPr>
        <sz val="12"/>
        <color theme="1" tint="0.249977111117893"/>
        <rFont val="Franklin Gothic Book"/>
        <family val="2"/>
      </rPr>
      <t xml:space="preserve">
     </t>
    </r>
    <r>
      <rPr>
        <sz val="12"/>
        <color theme="7" tint="-0.249977111117893"/>
        <rFont val="Franklin Gothic Book"/>
        <family val="2"/>
      </rPr>
      <t>Highlight increased value as a result of sustainability-related projects
     e.g., replacement with electric vehicles</t>
    </r>
  </si>
  <si>
    <r>
      <rPr>
        <b/>
        <sz val="12"/>
        <color theme="1" tint="0.249977111117893"/>
        <rFont val="Franklin Gothic Book"/>
        <family val="2"/>
      </rPr>
      <t xml:space="preserve">Company-owned IT equipment </t>
    </r>
    <r>
      <rPr>
        <sz val="12"/>
        <color theme="1" tint="0.249977111117893"/>
        <rFont val="Franklin Gothic Book"/>
        <family val="2"/>
      </rPr>
      <t xml:space="preserve">
     Highlight increased value as a result of sustainability-related projects
     e.g., energy efficient servers, printers, etc.</t>
    </r>
  </si>
  <si>
    <r>
      <rPr>
        <b/>
        <sz val="12"/>
        <color theme="1" tint="0.249977111117893"/>
        <rFont val="Franklin Gothic Book"/>
        <family val="2"/>
      </rPr>
      <t xml:space="preserve">Company-owned office furnishings </t>
    </r>
    <r>
      <rPr>
        <sz val="12"/>
        <color theme="1" tint="0.249977111117893"/>
        <rFont val="Franklin Gothic Book"/>
        <family val="2"/>
      </rPr>
      <t xml:space="preserve">
     Highlight increased value as a result of sustainability-related projects
     e.g., green building office furnishings</t>
    </r>
  </si>
  <si>
    <r>
      <rPr>
        <b/>
        <sz val="12"/>
        <color theme="1" tint="0.249977111117893"/>
        <rFont val="Franklin Gothic Book"/>
        <family val="2"/>
      </rPr>
      <t>Company-owned solar or wind installations</t>
    </r>
    <r>
      <rPr>
        <sz val="12"/>
        <color theme="1" tint="0.249977111117893"/>
        <rFont val="Franklin Gothic Book"/>
        <family val="2"/>
      </rPr>
      <t xml:space="preserve">
     Highlight increased value as a result of sustainability-related projects
     e.g., Installation of photovoltaic, passive solar, or geothermal systems</t>
    </r>
  </si>
  <si>
    <r>
      <rPr>
        <b/>
        <sz val="12"/>
        <color theme="1" tint="0.249977111117893"/>
        <rFont val="Franklin Gothic Book"/>
        <family val="2"/>
      </rPr>
      <t>Company-owned miscellaneous assets</t>
    </r>
    <r>
      <rPr>
        <sz val="12"/>
        <color theme="1" tint="0.249977111117893"/>
        <rFont val="Franklin Gothic Book"/>
        <family val="2"/>
      </rPr>
      <t xml:space="preserve">
     Highlight increased value as a result of sustainability-related projects</t>
    </r>
  </si>
  <si>
    <t>(Other assets…?)</t>
  </si>
  <si>
    <t xml:space="preserve">Value of manufactured capital </t>
  </si>
  <si>
    <t>Intellectual Capital</t>
  </si>
  <si>
    <t>Change in value at year end</t>
  </si>
  <si>
    <r>
      <rPr>
        <b/>
        <sz val="12"/>
        <color theme="1" tint="0.249977111117893"/>
        <rFont val="Franklin Gothic Book"/>
        <family val="2"/>
      </rPr>
      <t>Value of patents, copyrights, software, rights and licenses</t>
    </r>
    <r>
      <rPr>
        <sz val="12"/>
        <color theme="1" tint="0.249977111117893"/>
        <rFont val="Franklin Gothic Book"/>
        <family val="2"/>
      </rPr>
      <t xml:space="preserve">
</t>
    </r>
    <r>
      <rPr>
        <sz val="12"/>
        <color theme="7" tint="-0.249977111117893"/>
        <rFont val="Franklin Gothic Book"/>
        <family val="2"/>
      </rPr>
      <t>Highlight any that are a byproduct of sustainability-related projects or research
e.g., patents on energy efficient motors and HVAC systems</t>
    </r>
  </si>
  <si>
    <r>
      <rPr>
        <b/>
        <sz val="12"/>
        <color theme="1" tint="0.249977111117893"/>
        <rFont val="Franklin Gothic Book"/>
        <family val="2"/>
      </rPr>
      <t>Value of “organizational capital” such as tacit knowledge, systems, procedures and protocols</t>
    </r>
    <r>
      <rPr>
        <sz val="12"/>
        <color theme="1" tint="0.249977111117893"/>
        <rFont val="Franklin Gothic Book"/>
        <family val="2"/>
      </rPr>
      <t xml:space="preserve">
</t>
    </r>
    <r>
      <rPr>
        <sz val="12"/>
        <color theme="7" tint="-0.249977111117893"/>
        <rFont val="Franklin Gothic Book"/>
        <family val="2"/>
      </rPr>
      <t>Highlight any that are a byproduct of sustainability-related projects
e.g., Improved governance systems and purpose-driven long-term strategies</t>
    </r>
  </si>
  <si>
    <t xml:space="preserve">Value of intellectual capital </t>
  </si>
  <si>
    <t>Human Capital</t>
  </si>
  <si>
    <t xml:space="preserve"> Social Capital</t>
  </si>
  <si>
    <r>
      <rPr>
        <b/>
        <sz val="16"/>
        <color theme="0"/>
        <rFont val="Franklin Gothic Book"/>
        <family val="2"/>
      </rPr>
      <t xml:space="preserve">Assessment of Performance on Natural, Human and Social Capitals </t>
    </r>
    <r>
      <rPr>
        <b/>
        <sz val="18"/>
        <color theme="0"/>
        <rFont val="Franklin Gothic Book"/>
        <family val="2"/>
      </rPr>
      <t xml:space="preserve"> </t>
    </r>
  </si>
  <si>
    <r>
      <t xml:space="preserve">Assessment of Performance on Financial, Manufactured and Intellectual Capitals  
</t>
    </r>
    <r>
      <rPr>
        <sz val="10"/>
        <color theme="0"/>
        <rFont val="Franklin Gothic Book"/>
        <family val="2"/>
      </rPr>
      <t>This section provides a framework to show how increasing the value of natural, human and social capitals contributed value to financial, manufactured and intellectual capitals during the reporting period.</t>
    </r>
  </si>
  <si>
    <r>
      <rPr>
        <b/>
        <sz val="11"/>
        <color theme="1" tint="0.249977111117893"/>
        <rFont val="Franklin Gothic Book"/>
        <family val="2"/>
      </rPr>
      <t xml:space="preserve">Revenue </t>
    </r>
    <r>
      <rPr>
        <sz val="11"/>
        <color theme="1" tint="0.249977111117893"/>
        <rFont val="Franklin Gothic Book"/>
        <family val="2"/>
      </rPr>
      <t>in Income / Sales section
    Highlight income from sustainability-related projects. For example:
    •   Income as a result of improved reputation with customers
    •  Income from sustainability-related products and services
    •  Income from innovative sustainability related service and financing offerings
    •  Income as a result of a strong sustainability brand and social license to operate</t>
    </r>
  </si>
  <si>
    <r>
      <rPr>
        <b/>
        <sz val="12"/>
        <color theme="1" tint="0.249977111117893"/>
        <rFont val="Franklin Gothic Book"/>
        <family val="2"/>
      </rPr>
      <t xml:space="preserve">Expenses saved </t>
    </r>
    <r>
      <rPr>
        <sz val="12"/>
        <color theme="1" tint="0.249977111117893"/>
        <rFont val="Franklin Gothic Book"/>
        <family val="2"/>
      </rPr>
      <t>in Sales, General &amp; Administrative (SG&amp;A) section</t>
    </r>
    <r>
      <rPr>
        <sz val="11"/>
        <color theme="1" tint="0.249977111117893"/>
        <rFont val="Franklin Gothic Book"/>
        <family val="2"/>
      </rPr>
      <t xml:space="preserve">
    Highlight expense savings as a result of sustainability-related projects. For example:
    •  Energy, carbon, water, materials, waste savings
    •  Shipping, business travel, maintenance savings
    •  Insurance, litigation, compliance savings
    •  Employee hiring and attrition savings
    •  Value of employee productivity improvements</t>
    </r>
  </si>
  <si>
    <t>* Tailor the line items to align with normal accounting categories and terminology used by the company in its financial statements.
* Use comment boxes, additional line items or footnotes to show how adding value to natural, human and / or social capitals affects the 
    value of each capital, as intended in an Integrated Report &lt;IR&gt;.</t>
  </si>
  <si>
    <t>Site Information</t>
  </si>
  <si>
    <r>
      <rPr>
        <b/>
        <sz val="11"/>
        <color theme="1" tint="0.249977111117893"/>
        <rFont val="Franklin Gothic Book"/>
        <family val="2"/>
      </rPr>
      <t>Site name / location:</t>
    </r>
    <r>
      <rPr>
        <sz val="11"/>
        <color theme="1" tint="0.249977111117893"/>
        <rFont val="Franklin Gothic Book"/>
        <family val="2"/>
      </rPr>
      <t xml:space="preserve"> Owned or leased sites that are within the company's reporting boundary. 
</t>
    </r>
    <r>
      <rPr>
        <b/>
        <sz val="11"/>
        <color theme="1" tint="0.249977111117893"/>
        <rFont val="Franklin Gothic Book"/>
        <family val="2"/>
      </rPr>
      <t># of Employees:</t>
    </r>
    <r>
      <rPr>
        <sz val="11"/>
        <color theme="1" tint="0.249977111117893"/>
        <rFont val="Franklin Gothic Book"/>
        <family val="2"/>
      </rPr>
      <t xml:space="preserve"> Use the same designation for “employees” as used for tax purposes, where applicable.</t>
    </r>
  </si>
  <si>
    <t>For more guidance on which sites and employees to include, see the FFBB Implementation Guide</t>
  </si>
  <si>
    <t>Site name / location</t>
  </si>
  <si>
    <t># of Employees</t>
  </si>
  <si>
    <t>Jonesville plant</t>
  </si>
  <si>
    <t>Manufacturing plant</t>
  </si>
  <si>
    <t>Smithtown warehouse</t>
  </si>
  <si>
    <t>Warehouse</t>
  </si>
  <si>
    <t>Brocktown office</t>
  </si>
  <si>
    <t>Branch office</t>
  </si>
  <si>
    <t>Edenville office</t>
  </si>
  <si>
    <t>HQ</t>
  </si>
  <si>
    <t>Headquarters executives and staff</t>
  </si>
  <si>
    <r>
      <t xml:space="preserve">NOTE: To add another location while protecting built-in formulas that reference the bottom row in their range, </t>
    </r>
    <r>
      <rPr>
        <b/>
        <sz val="11"/>
        <color theme="1" tint="0.249977111117893"/>
        <rFont val="Franklin Gothic Book"/>
        <family val="2"/>
      </rPr>
      <t>copy any sample location row</t>
    </r>
    <r>
      <rPr>
        <sz val="11"/>
        <color theme="1" tint="0.249977111117893"/>
        <rFont val="Franklin Gothic Book"/>
        <family val="2"/>
      </rPr>
      <t xml:space="preserve"> (right-click on its row number; Copy)</t>
    </r>
    <r>
      <rPr>
        <b/>
        <sz val="11"/>
        <color theme="1" tint="0.249977111117893"/>
        <rFont val="Franklin Gothic Book"/>
        <family val="2"/>
      </rPr>
      <t xml:space="preserve"> and insert it </t>
    </r>
    <r>
      <rPr>
        <b/>
        <i/>
        <u/>
        <sz val="11"/>
        <color theme="1" tint="0.249977111117893"/>
        <rFont val="Franklin Gothic Book"/>
        <family val="2"/>
      </rPr>
      <t>above</t>
    </r>
    <r>
      <rPr>
        <b/>
        <u/>
        <sz val="11"/>
        <color theme="1" tint="0.249977111117893"/>
        <rFont val="Franklin Gothic Book"/>
        <family val="2"/>
      </rPr>
      <t xml:space="preserve"> </t>
    </r>
    <r>
      <rPr>
        <b/>
        <sz val="11"/>
        <color theme="1" tint="0.249977111117893"/>
        <rFont val="Franklin Gothic Book"/>
        <family val="2"/>
      </rPr>
      <t xml:space="preserve">the bottom sample location row </t>
    </r>
    <r>
      <rPr>
        <sz val="11"/>
        <color theme="1" tint="0.249977111117893"/>
        <rFont val="Franklin Gothic Book"/>
        <family val="2"/>
      </rPr>
      <t>(right-click on the bottom row; Insert Copied Cells)</t>
    </r>
    <r>
      <rPr>
        <b/>
        <sz val="11"/>
        <color theme="1" tint="0.249977111117893"/>
        <rFont val="Franklin Gothic Book"/>
        <family val="2"/>
      </rPr>
      <t xml:space="preserve">. </t>
    </r>
    <r>
      <rPr>
        <sz val="11"/>
        <color theme="1" tint="0.249977111117893"/>
        <rFont val="Franklin Gothic Book"/>
        <family val="2"/>
      </rPr>
      <t xml:space="preserve">Then overwrite it with the information for the additional location. Do this as many times as required. Similarly, </t>
    </r>
    <r>
      <rPr>
        <b/>
        <sz val="11"/>
        <color theme="1" tint="0.249977111117893"/>
        <rFont val="Franklin Gothic Book"/>
        <family val="2"/>
      </rPr>
      <t>adjust the corresponding parts of the FFBB Break-Even Goals worksheet that use this information</t>
    </r>
    <r>
      <rPr>
        <sz val="11"/>
        <color theme="1" tint="0.249977111117893"/>
        <rFont val="Franklin Gothic Book"/>
        <family val="2"/>
      </rPr>
      <t>, so that those calculations will include the additional location(s)</t>
    </r>
    <r>
      <rPr>
        <b/>
        <sz val="11"/>
        <color theme="1" tint="0.249977111117893"/>
        <rFont val="Franklin Gothic Book"/>
        <family val="2"/>
      </rPr>
      <t>.</t>
    </r>
    <r>
      <rPr>
        <sz val="11"/>
        <color theme="1" tint="0.249977111117893"/>
        <rFont val="Franklin Gothic Book"/>
        <family val="2"/>
      </rPr>
      <t xml:space="preserve"> </t>
    </r>
  </si>
  <si>
    <t>Total employees based at company at sites</t>
  </si>
  <si>
    <t>Total of that column, above.</t>
  </si>
  <si>
    <t>Total number of company employees</t>
  </si>
  <si>
    <t>Crosscheck with number used in other company reports.</t>
  </si>
  <si>
    <t>Unaccounted-for employees</t>
  </si>
  <si>
    <t>This should be zero.</t>
  </si>
  <si>
    <t>Product Information</t>
  </si>
  <si>
    <r>
      <t xml:space="preserve">List all products (i.e., goods and services) sold by the company and any supplementary materials used to deliver the good or service. The </t>
    </r>
    <r>
      <rPr>
        <b/>
        <sz val="11"/>
        <color theme="1" tint="0.249977111117893"/>
        <rFont val="Franklin Gothic Book"/>
        <family val="2"/>
      </rPr>
      <t>Product type</t>
    </r>
    <r>
      <rPr>
        <sz val="11"/>
        <color theme="1" tint="0.249977111117893"/>
        <rFont val="Franklin Gothic Book"/>
        <family val="2"/>
      </rPr>
      <t xml:space="preserve"> drop-down menus include these four categories:</t>
    </r>
    <r>
      <rPr>
        <b/>
        <sz val="11"/>
        <color theme="1" tint="0.249977111117893"/>
        <rFont val="Franklin Gothic Book"/>
        <family val="2"/>
      </rPr>
      <t/>
    </r>
  </si>
  <si>
    <r>
      <t xml:space="preserve">Sold or leased goods: </t>
    </r>
    <r>
      <rPr>
        <sz val="11"/>
        <color theme="1" tint="0.249977111117893"/>
        <rFont val="Franklin Gothic Book"/>
        <family val="2"/>
      </rPr>
      <t xml:space="preserve">All physical products offered to customers in exchange for revenue. </t>
    </r>
  </si>
  <si>
    <r>
      <rPr>
        <b/>
        <sz val="11"/>
        <color theme="1" tint="0.249977111117893"/>
        <rFont val="Franklin Gothic Book"/>
        <family val="2"/>
      </rPr>
      <t xml:space="preserve">Supplementary materials delivered to customers: </t>
    </r>
    <r>
      <rPr>
        <sz val="11"/>
        <color theme="1" tint="0.249977111117893"/>
        <rFont val="Franklin Gothic Book"/>
        <family val="2"/>
      </rPr>
      <t xml:space="preserve">Any physical items aside from sold or leased goods that are provided to a customer in support of commercial activities, but which the company does not consider to be revenue-generating, including all packaging that ends up in the hands of customers, marketing materials and giveaways (e.g. toys with children’s meals), items offered with the purchase of a product (e.g. carrier bags) and physical items provided to the customer when purchasing a product (e.g. receipts). </t>
    </r>
  </si>
  <si>
    <r>
      <rPr>
        <b/>
        <sz val="11"/>
        <color theme="1" tint="0.249977111117893"/>
        <rFont val="Franklin Gothic Book"/>
        <family val="2"/>
      </rPr>
      <t xml:space="preserve">Materials used to deliver products: </t>
    </r>
    <r>
      <rPr>
        <sz val="11"/>
        <color theme="1" tint="0.249977111117893"/>
        <rFont val="Franklin Gothic Book"/>
        <family val="2"/>
      </rPr>
      <t>All physical goods which are used for the purposes of selling a product, delivering a service, transporting goods, or similar activities which the company does not consider to be revenue-generating, and which are not transferred to the customer.</t>
    </r>
  </si>
  <si>
    <r>
      <t xml:space="preserve">Service: </t>
    </r>
    <r>
      <rPr>
        <sz val="11"/>
        <color theme="1" tint="0.249977111117893"/>
        <rFont val="Franklin Gothic Book"/>
        <family val="2"/>
      </rPr>
      <t>Support provided by the company. Company "products" are "goods" and "services."</t>
    </r>
  </si>
  <si>
    <r>
      <rPr>
        <b/>
        <sz val="11"/>
        <color theme="1" tint="0.249977111117893"/>
        <rFont val="Franklin Gothic Book"/>
        <family val="2"/>
      </rPr>
      <t xml:space="preserve">Total revenue: </t>
    </r>
    <r>
      <rPr>
        <sz val="11"/>
        <color theme="1" tint="0.249977111117893"/>
        <rFont val="Franklin Gothic Book"/>
        <family val="2"/>
      </rPr>
      <t>Total of all "Sold or leased goods" and "Service" line items.</t>
    </r>
    <r>
      <rPr>
        <b/>
        <sz val="11"/>
        <color theme="1" tint="0.249977111117893"/>
        <rFont val="Franklin Gothic Book"/>
        <family val="2"/>
      </rPr>
      <t xml:space="preserve">
Total cost: </t>
    </r>
    <r>
      <rPr>
        <sz val="11"/>
        <color theme="1" tint="0.249977111117893"/>
        <rFont val="Franklin Gothic Book"/>
        <family val="2"/>
      </rPr>
      <t>Total of all "Supplemental materials delivered to customers" and "Materials used to deliver products" line items.</t>
    </r>
  </si>
  <si>
    <t>Product type</t>
  </si>
  <si>
    <t>Product name</t>
  </si>
  <si>
    <t>Revenue / cost (USD)</t>
  </si>
  <si>
    <t>Sold or leased goods</t>
  </si>
  <si>
    <t>Washing machines</t>
  </si>
  <si>
    <t>Includes 15 similar models</t>
  </si>
  <si>
    <t>Dryers</t>
  </si>
  <si>
    <t>Includes 10 similar models</t>
  </si>
  <si>
    <t>Supplementary materials delivered to customers</t>
  </si>
  <si>
    <t>Instruction manuals</t>
  </si>
  <si>
    <t>Included with all washers and dryers</t>
  </si>
  <si>
    <t>Materials used to deliver products</t>
  </si>
  <si>
    <t>Wooden pallets</t>
  </si>
  <si>
    <t>Reused</t>
  </si>
  <si>
    <t>Service</t>
  </si>
  <si>
    <t xml:space="preserve">Maintenance </t>
  </si>
  <si>
    <t>Product and services revenue + cost of supplementary and delivery materials</t>
  </si>
  <si>
    <r>
      <t xml:space="preserve">NOTE: To add another product while protecting built-in formulas that reference the bottom row, </t>
    </r>
    <r>
      <rPr>
        <b/>
        <sz val="11"/>
        <color theme="1" tint="0.249977111117893"/>
        <rFont val="Franklin Gothic Book"/>
        <family val="2"/>
      </rPr>
      <t>copy any sample product row</t>
    </r>
    <r>
      <rPr>
        <sz val="11"/>
        <color theme="1" tint="0.249977111117893"/>
        <rFont val="Franklin Gothic Book"/>
        <family val="2"/>
      </rPr>
      <t xml:space="preserve"> (right-click on its row number; Copy)</t>
    </r>
    <r>
      <rPr>
        <b/>
        <sz val="11"/>
        <color theme="1" tint="0.249977111117893"/>
        <rFont val="Franklin Gothic Book"/>
        <family val="2"/>
      </rPr>
      <t xml:space="preserve"> and insert it </t>
    </r>
    <r>
      <rPr>
        <b/>
        <i/>
        <u/>
        <sz val="11"/>
        <color theme="1" tint="0.249977111117893"/>
        <rFont val="Franklin Gothic Book"/>
        <family val="2"/>
      </rPr>
      <t>above</t>
    </r>
    <r>
      <rPr>
        <b/>
        <u/>
        <sz val="11"/>
        <color theme="1" tint="0.249977111117893"/>
        <rFont val="Franklin Gothic Book"/>
        <family val="2"/>
      </rPr>
      <t xml:space="preserve"> </t>
    </r>
    <r>
      <rPr>
        <b/>
        <sz val="11"/>
        <color theme="1" tint="0.249977111117893"/>
        <rFont val="Franklin Gothic Book"/>
        <family val="2"/>
      </rPr>
      <t xml:space="preserve">the bottom sample product row </t>
    </r>
    <r>
      <rPr>
        <sz val="11"/>
        <color theme="1" tint="0.249977111117893"/>
        <rFont val="Franklin Gothic Book"/>
        <family val="2"/>
      </rPr>
      <t>(right-click on the bottom row; Insert Copied Cells)</t>
    </r>
    <r>
      <rPr>
        <b/>
        <sz val="11"/>
        <color theme="1" tint="0.249977111117893"/>
        <rFont val="Franklin Gothic Book"/>
        <family val="2"/>
      </rPr>
      <t xml:space="preserve">. </t>
    </r>
    <r>
      <rPr>
        <sz val="11"/>
        <color theme="1" tint="0.249977111117893"/>
        <rFont val="Franklin Gothic Book"/>
        <family val="2"/>
      </rPr>
      <t xml:space="preserve">Then overwrite it with the information for the additional product. Do this as many times as required. Similarly, </t>
    </r>
    <r>
      <rPr>
        <b/>
        <sz val="11"/>
        <color theme="1" tint="0.249977111117893"/>
        <rFont val="Franklin Gothic Book"/>
        <family val="2"/>
      </rPr>
      <t>adjust the corresponding parts of the FFBB Break-Even Goals worksheet that use this information</t>
    </r>
    <r>
      <rPr>
        <sz val="11"/>
        <color theme="1" tint="0.249977111117893"/>
        <rFont val="Franklin Gothic Book"/>
        <family val="2"/>
      </rPr>
      <t>, so that those calculations will include the additional product(s)</t>
    </r>
    <r>
      <rPr>
        <b/>
        <sz val="11"/>
        <color theme="1" tint="0.249977111117893"/>
        <rFont val="Franklin Gothic Book"/>
        <family val="2"/>
      </rPr>
      <t>.</t>
    </r>
    <r>
      <rPr>
        <sz val="11"/>
        <color theme="1" tint="0.249977111117893"/>
        <rFont val="Franklin Gothic Book"/>
        <family val="2"/>
      </rPr>
      <t xml:space="preserve"> </t>
    </r>
  </si>
  <si>
    <r>
      <t xml:space="preserve">Total revenue from </t>
    </r>
    <r>
      <rPr>
        <i/>
        <sz val="11"/>
        <color theme="1"/>
        <rFont val="Franklin Gothic Book"/>
        <family val="2"/>
      </rPr>
      <t>Sold or leased goods</t>
    </r>
    <r>
      <rPr>
        <sz val="11"/>
        <color theme="1"/>
        <rFont val="Franklin Gothic Book"/>
        <family val="2"/>
      </rPr>
      <t xml:space="preserve"> and </t>
    </r>
    <r>
      <rPr>
        <i/>
        <sz val="11"/>
        <color theme="1"/>
        <rFont val="Franklin Gothic Book"/>
        <family val="2"/>
      </rPr>
      <t>Services</t>
    </r>
  </si>
  <si>
    <t>Total revenue from those line items, above.</t>
  </si>
  <si>
    <t>Total company revenue</t>
  </si>
  <si>
    <t>Crosscheck with other company reports.</t>
  </si>
  <si>
    <t>Unaccounted-for revenue</t>
  </si>
  <si>
    <t xml:space="preserve">The information on this worksheet will pre-populate the parts of the "Cause-No-Harm Scores" worksheet that use it in their calculations. Starting values in yellow cells are just illustrative examples to show how the calculations work. Overwrite them with company data or with other selections from drop-down menus. </t>
  </si>
  <si>
    <t xml:space="preserve"> LC Products Ltd.</t>
  </si>
  <si>
    <t>2000</t>
  </si>
  <si>
    <t>567 Openfield Avenue, Bigburg, Ontario,  L0L 1C9</t>
  </si>
  <si>
    <t>705-555-6666</t>
  </si>
  <si>
    <t>www.lcproducts.com</t>
  </si>
  <si>
    <t xml:space="preserve">Overall Profile </t>
  </si>
  <si>
    <t>(If necessary, add more rows)</t>
  </si>
  <si>
    <t>All drivers hotspots have been avoided or eliminated</t>
  </si>
  <si>
    <t>All high-intensity drivers hotspots addressed and steps taken to address the others</t>
  </si>
  <si>
    <t>Actual drivers hotspots confirmed and steps taken to address them</t>
  </si>
  <si>
    <t>Potential drivers hotspots identified</t>
  </si>
  <si>
    <t>Drivers hotspot assessment conducted</t>
  </si>
  <si>
    <t>Financial asset DOES NOT fall into the No Use category</t>
  </si>
  <si>
    <t>Number of days held</t>
  </si>
  <si>
    <t>Monetary value (USD)</t>
  </si>
  <si>
    <t>Financial asset</t>
  </si>
  <si>
    <t>Financial asset 
fitness on the 
drivers hotspot</t>
  </si>
  <si>
    <t>Examples: Financial assets' operational activities are driven by unethical business conduct (e.g. bribery practices).</t>
  </si>
  <si>
    <t>All people  hotspots have been avoided or eliminated</t>
  </si>
  <si>
    <t>All high-intensity people hotspots addressed and steps taken to address the others</t>
  </si>
  <si>
    <t>Actual people hotspots confirmed and steps taken to address them</t>
  </si>
  <si>
    <t>Potential people hotspots identified</t>
  </si>
  <si>
    <t>People hotspot assessment conducted</t>
  </si>
  <si>
    <t>Financial asset 
fitness on the 
people hotspot</t>
  </si>
  <si>
    <t>Examples: Financial assets use poor labor practices, including child labor; excessive overtime; forced labor; hazardous working conditions; irresponsible use of agency labor; underpayment or non-payment of wages and benefits; undisclosed subcontracting; discriminatory practices; and/or lack of representation (e.g. the right to bargain collectively).</t>
  </si>
  <si>
    <t>All physical presence hotspots have been avoided or eliminated</t>
  </si>
  <si>
    <t>All high-intensity physical presence hotspots addressed and steps taken to address the others</t>
  </si>
  <si>
    <t>Actual physical presence hotspots confirmed and steps taken to address them</t>
  </si>
  <si>
    <t>Potential physical presence hotspots identified</t>
  </si>
  <si>
    <t>Physical presence hotspot assessment conducted</t>
  </si>
  <si>
    <t>Financial asset 
fitness on the physical presence hotspot</t>
  </si>
  <si>
    <t>Examples: Financial assets use harmful uses of land, including encroachment into areas of importance to local communities; conversion of pristine ecosystems (e.g. conversion of primary forests and wetlands); and/or lack of respect for community rights (e.g. land-grabbing practices).</t>
  </si>
  <si>
    <t>All waste hotspots have been avoided or eliminated</t>
  </si>
  <si>
    <t>All high-intensity waste hotspots addressed and steps taken to address the others</t>
  </si>
  <si>
    <t>Actual waste hotspots confirmed and steps taken to address them</t>
  </si>
  <si>
    <t>Potential waste hotspots identified</t>
  </si>
  <si>
    <t>Waste hotspot assessment conducted</t>
  </si>
  <si>
    <t>Financial asset 
fitness on the 
waste hotspot</t>
  </si>
  <si>
    <t xml:space="preserve">Example: Financial assets use processes which result in large amounts of waste generation.  </t>
  </si>
  <si>
    <t>All other harmful emissions hotspots have been avoided or eliminated</t>
  </si>
  <si>
    <t>All high-intensity other harmful emissions hotspots addressed and steps taken to address the others</t>
  </si>
  <si>
    <t>Actual other harmful emissions hotspots confirmed and steps taken to address them</t>
  </si>
  <si>
    <t>Potential other harmful emissions hotspots identified</t>
  </si>
  <si>
    <t>Other harmful emissions hotspot assessment conducted</t>
  </si>
  <si>
    <t>Financial asset 
fitness on the other harmful emissions hotspot</t>
  </si>
  <si>
    <t>Examples: Financial assets generate other non-GHG harmful emissions into air, land and water, including gaseous toxins and air pollutants (e.g. VOCs, NOx); ozone-depleting substances; substances that build up in nature; scarce metals (e.g. Cadmium and lead); untreated or insufficiently treated wastewater; and/or harmful chemicals (e.g. fertilizer run-off, harmful pesticides.)</t>
  </si>
  <si>
    <t>All GHG pollution hotspots have been avoided or eliminated</t>
  </si>
  <si>
    <t>All high-intensity GHG pollution hotspots addressed and steps taken to address the others</t>
  </si>
  <si>
    <t>Actual GHG pollution hotspots confirmed and steps taken to address them</t>
  </si>
  <si>
    <t>Potential GHG pollution hotspots identified</t>
  </si>
  <si>
    <t>GHG pollution hotspot assessment conducted</t>
  </si>
  <si>
    <t>Financial asset 
fitness on the GHG pollution hotspot</t>
  </si>
  <si>
    <t>Example: Financial assets use GHG-intensive processes.</t>
  </si>
  <si>
    <t>All natural resources hotspots have been avoided or eliminated</t>
  </si>
  <si>
    <t>All high-intensity natural resources hotspots addressed and steps taken to address the others</t>
  </si>
  <si>
    <t>Actual natural resources hotspots confirmed and steps taken to address them</t>
  </si>
  <si>
    <t>Potential natural resources hotspots identified</t>
  </si>
  <si>
    <t>Natural resources hotspot assessment conducted</t>
  </si>
  <si>
    <t>Financial asset 
fitness on the natural resources hotspot</t>
  </si>
  <si>
    <t>Examples: Financial assets rely on natural resources whose sourcing contributes to loss of biodiversity, depletion of renewable resources, armed conflicts, poor treatment of animals, physical degradation of the environment and/or diversion of agricultural crops to energy feedstocks.</t>
  </si>
  <si>
    <t>All water hotspots have been avoided or eliminated</t>
  </si>
  <si>
    <t>All high-intensity water hotspots addressed and steps taken to address the others</t>
  </si>
  <si>
    <t>Actual water hotspots confirmed and steps taken to address them</t>
  </si>
  <si>
    <t>Potential water hotspots identified</t>
  </si>
  <si>
    <t>Water hotspot assessment conducted</t>
  </si>
  <si>
    <t>Financial asset 
fitness on the 
water hotspot</t>
  </si>
  <si>
    <t>Examples: Financial assets use water-intensive processes which are likely to rely on water from water-stressed sources and/or prevent others from meeting their water needs.</t>
  </si>
  <si>
    <t>Note: The above financial asset information is auto-populated into the other potential hotspot assessments, below.</t>
  </si>
  <si>
    <t>Company's own stock</t>
  </si>
  <si>
    <t>Corporate bonds</t>
  </si>
  <si>
    <t>Financial sector stock</t>
  </si>
  <si>
    <t>Energy sector stock</t>
  </si>
  <si>
    <t>Term deposits</t>
  </si>
  <si>
    <t>All energy hotspots have been avoided or eliminated</t>
  </si>
  <si>
    <t>All high-intensity energy hotspots addressed and steps taken to address the others</t>
  </si>
  <si>
    <t>Actual energy hotspots confirmed and steps taken to address them</t>
  </si>
  <si>
    <t>Potential energy hotspots identified</t>
  </si>
  <si>
    <t>Energy hotspot assessment conducted</t>
  </si>
  <si>
    <t>Financial asset 
fitness on the
energy hotspot</t>
  </si>
  <si>
    <t>Examples: Financial assets use energy-intensive processes which are likely to rely on non-renewable energy and/or prevent others from meeting their energy needs.</t>
  </si>
  <si>
    <t>For more information on the context, terminology and formulas used with this goal, click this link to access its associated Action Guide.</t>
  </si>
  <si>
    <r>
      <t xml:space="preserve">To be Future-Fit, a company must: 
- Have policies and processes in place that enable it and its employees to anticipate where negative investment impacts are likely to occur
- Avoid them where possible
- Take measurable steps to address concerns that arise
Assess the fitness of financial assets (or group of similar assets) held during the reporting period, even it was only held for a short period of time. All investments are subject to hotspot assessments, to identify any activity by the financial asset that may undermine progress toward a Future-Fit Society, The hotspot assessments cover nine issue areas: </t>
    </r>
    <r>
      <rPr>
        <i/>
        <sz val="11"/>
        <color theme="1" tint="0.249977111117893"/>
        <rFont val="Franklin Gothic Book"/>
        <family val="2"/>
      </rPr>
      <t>energy, water, natural resources, GHG emissions, harmful emissions, waste, physical presence, people, and drivers</t>
    </r>
    <r>
      <rPr>
        <sz val="11"/>
        <color theme="1" tint="0.249977111117893"/>
        <rFont val="Franklin Gothic Book"/>
        <family val="2"/>
      </rPr>
      <t>. For each of the nine issue areas, assess the fitness of each financial asset held at any point throughout the reporting period and calculate progress as the time-and-value-weighted sum of the fitness scores of all financial assets on that issue. Particular scrutiny should be given to types of impact whose likelihood is higher depending on geographical, industry-specific, and resource-specific risks.
Overwrite the examples in the table below.</t>
    </r>
  </si>
  <si>
    <r>
      <t xml:space="preserve">Overall 
Fitness Score
</t>
    </r>
    <r>
      <rPr>
        <sz val="11"/>
        <color theme="0"/>
        <rFont val="Franklin Gothic Book"/>
        <family val="2"/>
      </rPr>
      <t>(average hotspot fitness)</t>
    </r>
  </si>
  <si>
    <t>BE23 Financial assets safeguard the pursuit of future-fitness</t>
  </si>
  <si>
    <t>Clear guidance for action in cases where a current or potential recipient’s lobbying activity is found to be at odds with the company’s policy</t>
  </si>
  <si>
    <t>Total lobbying expenditure</t>
  </si>
  <si>
    <t>A summary of any concerns the company raised with the recipient about aspects of their platform or activities which it does not support</t>
  </si>
  <si>
    <t>Controls that schedule the regular review of lobbying activity undertaken by the company itself, and by individuals or groups that it supports</t>
  </si>
  <si>
    <t>The policy applies across all regions, and to all departments and individuals in the company with the opportunity to make cash disbursements, or non-cash lobbying contributions</t>
  </si>
  <si>
    <t>Date of contribution</t>
  </si>
  <si>
    <t>Controls to ensure that the due diligence process is performed at appropriate times, including before non-cash contributions are made, as well as for events that are not explicitly identified as ‘lobbying’ but are functionally equivalent</t>
  </si>
  <si>
    <t>This also includes setting out any specific policy positions that the company will not support, under any circumstances</t>
  </si>
  <si>
    <t>Amount of contribution</t>
  </si>
  <si>
    <t>When a contribution recipient engages in multiple activities, where some activities are at odds with the company’s lobbying policy and others are aligned, the company formally alert the recipient to the aspects of their platform which it does not support and for which its funding must not be used</t>
  </si>
  <si>
    <t>This includes not campaigning for – or supporting individuals or organizations who actively campaign for – policies that seek to put in place or preserve conditions that either directly, or due to unavoidable consequences, lead to outcomes that undermine society’s progress toward future-fitness</t>
  </si>
  <si>
    <t>Recipient name(s)</t>
  </si>
  <si>
    <t>Controls to ensure the company exercises due diligence before making contributions, ensuring it is well informed about the objectives or platforms and activities of prospective recipients</t>
  </si>
  <si>
    <t>The company states that it will not seek to influence public policy in ways that could undermine society’s progress toward future-fitness</t>
  </si>
  <si>
    <t>For each lobbying contribution made, the following must be disclosed:</t>
  </si>
  <si>
    <t>The company has controls in place to ensure that it lives up to its policy. These must include:</t>
  </si>
  <si>
    <t>The company adopts and publicly documents a lobbying policy which includes the following components:</t>
  </si>
  <si>
    <t>Disclosure requirements for lobbying contributions</t>
  </si>
  <si>
    <t>Control processes for contributions</t>
  </si>
  <si>
    <t>Lobbying policy requirements</t>
  </si>
  <si>
    <t xml:space="preserve">To be Future-Fit, a company must: 
- Implement internal controls to ensure that the organization does not lobby, or seek to influence, against Future-Fit outcomes;
- Disclose details of the lobbying contributions it makes. “Contributions” in the context of this goal refers to the transfer of cash or in-kind assets or services to a political party, industry group, or other target of the company’s lobbying or corporate influence efforts. 
A dollar weighting should be applied to non-cash contributions in order to assess them in the context of the broader, company-wide fitness calculation. Wherever possible, the valuation of these contributions should mirror the way that these contributions are valued by the company for tax purposes. If for some reason that is not applicable, the company should determine the monetary value of the contribution by using a comparable market price and briefly explaining how the calculation was made. For example, providing free use of company facilities as a venue for a political campaign might be assigned a value equivalent to the commercial price of hiring a comparable venue in the same area. </t>
  </si>
  <si>
    <t>Overall 
Fitness Score</t>
  </si>
  <si>
    <t>BE22 Lobbying and corporate influence safeguard the pursuit of future-fitness</t>
  </si>
  <si>
    <t>Total Score</t>
  </si>
  <si>
    <t>The company discloses its assessment, including appropriate explanations on how the outcome was determined, and future steps needed to improve its performance?</t>
  </si>
  <si>
    <t>Is external assurance on policy compliance is obtained from an independent third party?</t>
  </si>
  <si>
    <t>Does the company assesses its compliance with its stated tax policy, and the results are discussed internally?</t>
  </si>
  <si>
    <r>
      <t xml:space="preserve">Does the tax strategy statement refer to direct taxes (such as corporate income tax) as well as indirect taxes (including payroll taxes, taxes on distributions, sales or value-added taxes, trade tariffs, etc.)? 
</t>
    </r>
    <r>
      <rPr>
        <b/>
        <sz val="10"/>
        <rFont val="Franklin Gothic Book"/>
        <family val="2"/>
      </rPr>
      <t>(Multi-national only)</t>
    </r>
  </si>
  <si>
    <t>Does the tax strategy statement refer to not using low or no-tax jurisdictions for the primary purpose of minimizing taxes?</t>
  </si>
  <si>
    <t>Does the company provide a deferred tax note that explains the balance of those assets or liabilities with significant precision so that the cause of at least 75% of the asset or liability is clearly described, and when they are likely to be used?</t>
  </si>
  <si>
    <t>Is it clear who the ultimate beneficial owners of all shareholdings of more than 10% in the company are either from a statement in the financial statements or via a publicly available government registry?</t>
  </si>
  <si>
    <t>Does the tax strategy statement refer to not using marketed or abusive tax avoidance schemes?</t>
  </si>
  <si>
    <t>Does the company provide a narrative explanation as to why its current tax charge differs from the charge expected for the year at the tax rate applying to the profits of the company in its main place of residence?</t>
  </si>
  <si>
    <t>Is a trading address listed, or a statement provided confirming that they are the same, in the financial statements or an easily identifiable website that the company runs?</t>
  </si>
  <si>
    <t>Does the tax strategy statement refer to seeking to declare profits in the place and form of their economic substance? (or equivalent)</t>
  </si>
  <si>
    <t>Does the company then reconcile its current tax charge with its total tax charge for the year by offering a reconciliation that explains the deferred tax provision for the year and other items that make up the difference?</t>
  </si>
  <si>
    <t>Is there clear evidence of what the company does either within its accounts or on an easily identifiable website that it runs?</t>
  </si>
  <si>
    <t>Has the company appointed a named director to have responsibility for its tax policy?</t>
  </si>
  <si>
    <t>Does the company provide a numerical tax reconciliation of its actual current tax charge to the current tax rate that might be expected for the year at the tax rate applying to the profits of the company?</t>
  </si>
  <si>
    <t>Does the company publish full (i.e. non-abbreviated) financial statements even if not required to do so by law?</t>
  </si>
  <si>
    <t>Does the company have a tax policy published either on its web site or referred to in its financial statements?</t>
  </si>
  <si>
    <t>Tax rate and disclosure</t>
  </si>
  <si>
    <t>Transparency</t>
  </si>
  <si>
    <t>Public commitment and adherence to tax policies</t>
  </si>
  <si>
    <r>
      <t xml:space="preserve">Company information </t>
    </r>
    <r>
      <rPr>
        <sz val="11"/>
        <rFont val="Franklin Gothic Book"/>
        <family val="2"/>
      </rPr>
      <t>(These questions apply to all companies.)</t>
    </r>
  </si>
  <si>
    <t>Total Context Score</t>
  </si>
  <si>
    <t>Does the company disclose the average number of employees each subsidiary engages together with a note on the basis of calculation used, or as a consolidated total for each country in which it operates?</t>
  </si>
  <si>
    <t>Does the company either disclose the current tax charge made by each subsidiary for each trading period or as a consolidated total for each country in which it operates?</t>
  </si>
  <si>
    <t>Is data on either the net income or loss for the period provided for each of its subsidiaries or as a consolidated total for each country in which it operates?</t>
  </si>
  <si>
    <t>Is the data on total revenues for the period provided for each of its subsidiaries, or as a consolidated total for each country in which it operates?</t>
  </si>
  <si>
    <t>Does the company either disclose data on the net asset value or equity invested in each subsidiary, or as a consolidated total for each country in which it operates?</t>
  </si>
  <si>
    <t>Is the country of tax residence of each subsidiary disclosed, if different from place of incorporation?</t>
  </si>
  <si>
    <t>Does the company disclose a full list of subsidiary companies stating their name and place of incorporation?</t>
  </si>
  <si>
    <t>If "No", it is not necessary to complete the rest of this little table.</t>
  </si>
  <si>
    <r>
      <t>Is the company a multinational company?
(</t>
    </r>
    <r>
      <rPr>
        <sz val="10"/>
        <rFont val="Franklin Gothic Book"/>
        <family val="2"/>
      </rPr>
      <t>These context questions only apply to multinational companies.)</t>
    </r>
  </si>
  <si>
    <t>To be Future-Fit, a company must: 
-  Commit publicly to a responsible tax policy
-  Adopt a transparent approach to tax reporting
-  Not deliberately seek ways to obey the letter but not the spirit of regional tax laws</t>
  </si>
  <si>
    <t>BE21 The right tax is paid in the right place at the right time</t>
  </si>
  <si>
    <t>Lobbyists and C-suite executives</t>
  </si>
  <si>
    <t>Anyone paid on commission</t>
  </si>
  <si>
    <t>All with access to inventory</t>
  </si>
  <si>
    <t>Management</t>
  </si>
  <si>
    <r>
      <t xml:space="preserve">"Yes" if </t>
    </r>
    <r>
      <rPr>
        <b/>
        <i/>
        <sz val="11"/>
        <color theme="1" tint="0.249977111117893"/>
        <rFont val="Franklin Gothic Book"/>
        <family val="2"/>
      </rPr>
      <t xml:space="preserve">all four </t>
    </r>
    <r>
      <rPr>
        <i/>
        <sz val="11"/>
        <color theme="1" tint="0.249977111117893"/>
        <rFont val="Franklin Gothic Book"/>
        <family val="2"/>
      </rPr>
      <t>are true</t>
    </r>
  </si>
  <si>
    <r>
      <t xml:space="preserve">"Yes" if </t>
    </r>
    <r>
      <rPr>
        <b/>
        <i/>
        <sz val="11"/>
        <color theme="1" tint="0.249977111117893"/>
        <rFont val="Franklin Gothic Book"/>
        <family val="2"/>
      </rPr>
      <t xml:space="preserve">both </t>
    </r>
    <r>
      <rPr>
        <i/>
        <sz val="11"/>
        <color theme="1" tint="0.249977111117893"/>
        <rFont val="Franklin Gothic Book"/>
        <family val="2"/>
      </rPr>
      <t>are true</t>
    </r>
  </si>
  <si>
    <t>Control processes are in place to monitor and regularly review the performance of organizational ethics policies in order to identify any shortfalls and to ensure continuous improvement</t>
  </si>
  <si>
    <t>A channel for employees and others to raise concerns and report violations in confidence is present, and effective response mechanisms are in place to evaluate and address such concerns</t>
  </si>
  <si>
    <t>Employees are trained and empowered to anticipate and avoid potential ethical conflicts, + effectively address issues that do arise</t>
  </si>
  <si>
    <t>Procedures are in place to address the potential ethical breaches</t>
  </si>
  <si>
    <t>If employees are in positions or locations that have been identified as being at greater risk, they have been fully informed about the particular risks relevant to them</t>
  </si>
  <si>
    <t>An ethics policy is in place, and communicated to those applicable, which explicitly states the company's commitment to ensure that its employees and other representatives act in an ethical manner</t>
  </si>
  <si>
    <t>Procedures are in place to review this assessment at regular intervals</t>
  </si>
  <si>
    <t>Hotspot assessment has been performed and identified any ethical breaches it could be vulnerable to, contribute to, or potentially cause, relating to role, location, incentives, etc.) for that employee group.</t>
  </si>
  <si>
    <t>Ethics
fitness scores</t>
  </si>
  <si>
    <t>Internal controls</t>
  </si>
  <si>
    <t>Ethics policy</t>
  </si>
  <si>
    <t>Hotspot assessment</t>
  </si>
  <si>
    <t>Site / location</t>
  </si>
  <si>
    <t>Number of employees within group</t>
  </si>
  <si>
    <t>Employee group name</t>
  </si>
  <si>
    <r>
      <t xml:space="preserve">To be Future-Fit, a company must: 
-  Identify high-risk areas for ethical issues within the business;
-  Adopt a public commitment to ethical conduct; and 
- Establish internal controls to ensure it lives up to that commitment.
Note: Employee group information has not been autofilled. This is because it is likely that companies will have to do hotspot assessments based on employee </t>
    </r>
    <r>
      <rPr>
        <i/>
        <sz val="11"/>
        <color theme="1" tint="0.249977111117893"/>
        <rFont val="Franklin Gothic Book"/>
        <family val="2"/>
      </rPr>
      <t>roles</t>
    </r>
    <r>
      <rPr>
        <sz val="11"/>
        <color theme="1" tint="0.249977111117893"/>
        <rFont val="Franklin Gothic Book"/>
        <family val="2"/>
      </rPr>
      <t>, rather than higher level employee groups. This is more granular than the other employee goals. For instance, employees at the same site may be subject to different ethical threats on account of their roles within the organization and therefore cannot be grouped together.
For additional guidance on evaluating or setting effective internal controls, see the Implementation Guide.</t>
    </r>
  </si>
  <si>
    <r>
      <t xml:space="preserve">Overall 
Fitness Score
</t>
    </r>
    <r>
      <rPr>
        <sz val="11"/>
        <color theme="0"/>
        <rFont val="Franklin Gothic Book"/>
        <family val="2"/>
      </rPr>
      <t>(employee # weighted)</t>
    </r>
  </si>
  <si>
    <t>BE20 Business is conducted ethically</t>
  </si>
  <si>
    <t>Supplementary materials</t>
  </si>
  <si>
    <t xml:space="preserve">Sold or leased goods </t>
  </si>
  <si>
    <t>(If necessary, allow for more rows above)</t>
  </si>
  <si>
    <t>Number of units sold</t>
  </si>
  <si>
    <t>Percentage of product (by weight) fit for repurposing</t>
  </si>
  <si>
    <t>Product repurposing
fitness scores</t>
  </si>
  <si>
    <t>Product fitness - Market 5</t>
  </si>
  <si>
    <t>Product fitness - Market 4</t>
  </si>
  <si>
    <t>Product fitness - Market 3</t>
  </si>
  <si>
    <t>Product fitness - Market 2</t>
  </si>
  <si>
    <t>Product fitness - Market 1</t>
  </si>
  <si>
    <t>Number of distinct markets product is sold</t>
  </si>
  <si>
    <t>Revenue or cost (USD)</t>
  </si>
  <si>
    <t>To be Future-Fit, a company must ensure that:
- Whatever remains of the goods it supplies can be separated at the end of their useful life, to maximize their post-use recovery value. 
- Its customers have ready access to recovery services capable of extracting such value. 
In order for customers to be able to repurpose materials provided to them, they must have access to facilities that can process those materials. Companies must therefore either provide materials that can be repurposed in any region, or consider the facilities available to their customers. The availability of recovery services should be assessed within each market. These services may vary within regions. When determining which areas – or which proportions of people within areas – have access to recycling services, a company may use available national or regional statistics as guidance. 
Note: This spreadsheet allows for five distinct markets. If more market entries are required, add them and update the fitness calculations to incorporate the additional markets. 
Also, since this is for products, delete the content of any Service rows that have been auto-populated from the Company Info sheet.</t>
  </si>
  <si>
    <r>
      <t xml:space="preserve">Overall 
Fitness Score
</t>
    </r>
    <r>
      <rPr>
        <sz val="11"/>
        <color theme="0"/>
        <rFont val="Franklin Gothic Book"/>
        <family val="2"/>
      </rPr>
      <t>(revenue weighted)</t>
    </r>
  </si>
  <si>
    <t>BE19 Products can be repurposed</t>
  </si>
  <si>
    <t>Product GHG 
fitness scores</t>
  </si>
  <si>
    <t xml:space="preserve">If yes, what is total lifetime use-phase emissions? </t>
  </si>
  <si>
    <t>Does the product force users to emit GHGs?</t>
  </si>
  <si>
    <t xml:space="preserve">Revenue and materials costs </t>
  </si>
  <si>
    <r>
      <t>A Future-Fit company must verify that its goods and services do not cause the emission of GHGs, and – until it reaches this point – it must estimate the extent of any such emissions caused as a result of its sales.  
In addition to the Progress indicator, to reflect the full extent of its products’ GHG impacts, the company must report the total estimated</t>
    </r>
    <r>
      <rPr>
        <b/>
        <sz val="11"/>
        <color theme="1" tint="0.249977111117893"/>
        <rFont val="Franklin Gothic Book"/>
        <family val="2"/>
      </rPr>
      <t xml:space="preserve"> lifetime </t>
    </r>
    <r>
      <rPr>
        <sz val="11"/>
        <color theme="1" tint="0.249977111117893"/>
        <rFont val="Franklin Gothic Book"/>
        <family val="2"/>
      </rPr>
      <t xml:space="preserve">use-phase GHG emissions that are expected to accrue from the products sold during the reporting period. This context Indicator can help demonstrate how the company is making its products more emission-efficient over time, even if it is not yet able to shift sales towards emission- free products. </t>
    </r>
  </si>
  <si>
    <t>BE18 Products emit no greenhouse gases</t>
  </si>
  <si>
    <t>After life</t>
  </si>
  <si>
    <t>Use phase</t>
  </si>
  <si>
    <t>Service reinforce behaviors that undermine fitness</t>
  </si>
  <si>
    <t>Service could harm ecosystems</t>
  </si>
  <si>
    <t>Service results in negative impacts</t>
  </si>
  <si>
    <t>Goods that contain substances of concern</t>
  </si>
  <si>
    <t>Goods that force the user to pollute the environment</t>
  </si>
  <si>
    <t>Environmentally destructive technology</t>
  </si>
  <si>
    <t>Consumable whose use increases long-term health risks</t>
  </si>
  <si>
    <t>Weapon designed to kill or maim people</t>
  </si>
  <si>
    <t>Good  banned in one or more markets</t>
  </si>
  <si>
    <t>Product after-life
fitness scores</t>
  </si>
  <si>
    <t>Product use phase
fitness scores</t>
  </si>
  <si>
    <t>Fitness criteria for services</t>
  </si>
  <si>
    <t>Fitness criteria for physical goods</t>
  </si>
  <si>
    <t>Product and services revenue and costs of supplementary and delivery materials (USD)</t>
  </si>
  <si>
    <t xml:space="preserve">A Future-Fit Business ensures all of the products it offers are completely benign to people and nature, both during use and (in the case of physical goods) as a result of their post-use processing. This includes supplementary goods that are
provided to a customer in support of commercial activities, but which the company does not consider to be revenue-generating, such as packaging, marketing materials, and shipping materials. To identify substances of concern in its products, a company should undertake the following steps: 
- Identify the good’s composition by breaking it down into a list of its homogenous materials. 
- Identify the supplier(s) of each homogenous material, and ascertain whether the supplier has intentionally added any substances of concern at a concentration level of at least 1,000 parts per million (or 0.1% by the supplied material’s weight). 
If substances of concern are identified, the company can either identify the good as unfit, or identify whether the use of each substance is problematic. </t>
  </si>
  <si>
    <t xml:space="preserve"> After life phase fitness</t>
  </si>
  <si>
    <t xml:space="preserve"> Use phase fitness</t>
  </si>
  <si>
    <t>BE17 Products do not harm people or the environment</t>
  </si>
  <si>
    <r>
      <t xml:space="preserve">"Yes" if </t>
    </r>
    <r>
      <rPr>
        <b/>
        <i/>
        <sz val="11"/>
        <color theme="1" tint="0.249977111117893"/>
        <rFont val="Franklin Gothic Book"/>
        <family val="2"/>
      </rPr>
      <t>both</t>
    </r>
    <r>
      <rPr>
        <i/>
        <sz val="11"/>
        <color theme="1" tint="0.249977111117893"/>
        <rFont val="Franklin Gothic Book"/>
        <family val="2"/>
      </rPr>
      <t xml:space="preserve"> are true</t>
    </r>
  </si>
  <si>
    <t>When areas for improvement are identified, steps are taken to implement
those changes</t>
  </si>
  <si>
    <t>Performance of the concern mechanisms is continuously documented</t>
  </si>
  <si>
    <t>Proactive steps taken to gather input on the performance of its concern mechanisms on a regular basis</t>
  </si>
  <si>
    <t>Controls are in place to ensure that concerns are investigated in a timely manner</t>
  </si>
  <si>
    <t>Alternatively, if investigations determines that no corrective action is needed, evidence is provided to that effect</t>
  </si>
  <si>
    <t>If a concern is valid, it is acknowledged publicly, in a way that reaches all potentially affected users</t>
  </si>
  <si>
    <t>The process for investigating a concern is explained to whichever users or groups raised it</t>
  </si>
  <si>
    <t>Throughout an investigation, the user(s) who raised the concern are kept informed of the investigation’s progress</t>
  </si>
  <si>
    <t>If necessary, policies in place to consult external experts when investigating product concerns</t>
  </si>
  <si>
    <t>Concerns are investigated by individuals whose incentives are not influenced by the investigation’s outcomes</t>
  </si>
  <si>
    <t xml:space="preserve"> Responsibility is assigned for the development and implementation of the mechanism</t>
  </si>
  <si>
    <t xml:space="preserve"> Mechanisms in place, to enable  user groups to contact the company with their concerns</t>
  </si>
  <si>
    <t>Concerns mechanism is designed to accommodate all  irrespective of  category or type</t>
  </si>
  <si>
    <t>Community health
fitness scores</t>
  </si>
  <si>
    <t>Improve continuously</t>
  </si>
  <si>
    <t>Engage actively</t>
  </si>
  <si>
    <t>Positive outcomes</t>
  </si>
  <si>
    <t>Fairness</t>
  </si>
  <si>
    <t>Reduce uncertainty</t>
  </si>
  <si>
    <t>Accessibility</t>
  </si>
  <si>
    <t>Legitimacy</t>
  </si>
  <si>
    <t>Revenue (USD)</t>
  </si>
  <si>
    <t>To be Future-Fit, a company must put in place effective internal controls to actively solicit, impartially judge and transparently address customer concerns relating to the environmental and social impact of the goods or services it delivers.</t>
  </si>
  <si>
    <t>BE16 Product concerns are actively solicited, impartially judged and transparently addressed</t>
  </si>
  <si>
    <r>
      <t>"Yes" if</t>
    </r>
    <r>
      <rPr>
        <b/>
        <i/>
        <sz val="10"/>
        <color theme="1" tint="0.249977111117893"/>
        <rFont val="Franklin Gothic Book"/>
        <family val="2"/>
      </rPr>
      <t xml:space="preserve"> both </t>
    </r>
    <r>
      <rPr>
        <i/>
        <sz val="10"/>
        <color theme="1" tint="0.249977111117893"/>
        <rFont val="Franklin Gothic Book"/>
        <family val="2"/>
      </rPr>
      <t>are true</t>
    </r>
  </si>
  <si>
    <r>
      <t xml:space="preserve">"Yes" if </t>
    </r>
    <r>
      <rPr>
        <b/>
        <i/>
        <sz val="11"/>
        <color theme="1" tint="0.249977111117893"/>
        <rFont val="Franklin Gothic Book"/>
        <family val="2"/>
      </rPr>
      <t>all four</t>
    </r>
    <r>
      <rPr>
        <i/>
        <sz val="11"/>
        <color theme="1" tint="0.249977111117893"/>
        <rFont val="Franklin Gothic Book"/>
        <family val="2"/>
      </rPr>
      <t xml:space="preserve"> are true</t>
    </r>
  </si>
  <si>
    <r>
      <t xml:space="preserve">"Yes" if </t>
    </r>
    <r>
      <rPr>
        <b/>
        <i/>
        <sz val="11"/>
        <color theme="1" tint="0.249977111117893"/>
        <rFont val="Franklin Gothic Book"/>
        <family val="2"/>
      </rPr>
      <t xml:space="preserve">all seven </t>
    </r>
    <r>
      <rPr>
        <i/>
        <sz val="11"/>
        <color theme="1" tint="0.249977111117893"/>
        <rFont val="Franklin Gothic Book"/>
        <family val="2"/>
      </rPr>
      <t>are true</t>
    </r>
  </si>
  <si>
    <t>If improper disposal of a product could cause harm, this must be made clear</t>
  </si>
  <si>
    <t>If a physical good can be repurposed, all information necessary for users to do so is provided</t>
  </si>
  <si>
    <t>Guidance provided  on ideal usage conditions, how to minimize  resource requirements and maintenance</t>
  </si>
  <si>
    <t>Users provided with guidance on when product is fit for use, and when not, to safeguard wellbeing, and reduce waste</t>
  </si>
  <si>
    <t>Nutrition information: users provided with  clear nutritional guidance together with healthy consumption recommendations</t>
  </si>
  <si>
    <t>Users provided with any instructions necessary for the safe operation, storage, and disposal of the product</t>
  </si>
  <si>
    <t>When user groups may require extra guidance (e.g. children, the elderly), efforts should be made to accommodate their needs</t>
  </si>
  <si>
    <t xml:space="preserve"> Comparative or absolute claims is avoided unless supported by empirical evidence</t>
  </si>
  <si>
    <t>Ambiguous terms when describing environmental or health characteristics of products is avoided</t>
  </si>
  <si>
    <t xml:space="preserve"> Identification of other use-phase characteristics of products, such as potential health impacts, and in-use emissions</t>
  </si>
  <si>
    <t>A description of the nature and quantities of resources (e.g. water, energy, fuel) required to use the product</t>
  </si>
  <si>
    <t>For physical goods: a listing of all materials, including  any potentially harmful substances present in the product</t>
  </si>
  <si>
    <t>All information needed to understand the product offering and the consequences associated with its purchase is provided</t>
  </si>
  <si>
    <t>Steps taken to ensure that each user group is aware of  available product information, and how to access it</t>
  </si>
  <si>
    <t>communication plans in place that provide identified groups with crucial information on key product characteristics</t>
  </si>
  <si>
    <t>Needs of non-target groups, who may be adversely affected by communications are considered</t>
  </si>
  <si>
    <t>Major user groups which require unique communication plans are identified</t>
  </si>
  <si>
    <t>Product communications
fitness scores</t>
  </si>
  <si>
    <t>Post-use treatment</t>
  </si>
  <si>
    <t>Use of products</t>
  </si>
  <si>
    <t>Purchase decisions</t>
  </si>
  <si>
    <t>Communications plan</t>
  </si>
  <si>
    <t>User groups</t>
  </si>
  <si>
    <t>Revenue</t>
  </si>
  <si>
    <t xml:space="preserve">A Future-Fit company puts in place control structures to ensure that: 
- users are informed about any negative impacts of its products
- users are not subject to false claims about the benefits of its products
- products are marketed only to those capable of making informed purchasing decisions
Note that while assessing products, the company can evaluate multiple products or communication plans at the same time, so long as the considerations with respect to the fitness criteria are the same. For example, a company selling personal electronic devices that come in different colors or with different memory configurations, but which are sold in the same regions and have the same packaging, advertisements, user guides, and recycling instructions are unlikely to require separate assessments. </t>
  </si>
  <si>
    <t>BE15 Product communications are honest, ethical, and promote responsible use</t>
  </si>
  <si>
    <t>If areas for improvement are identified, steps are taken to implement those improvements</t>
  </si>
  <si>
    <t>assessment of concerns mechanism include soliciting of feedback from employees at regular intervals</t>
  </si>
  <si>
    <t>The performance of the concerns mechanism is monitored and regularly assessed</t>
  </si>
  <si>
    <t>Anyone using the concerns mechanism is asked for feedback on how to improve it</t>
  </si>
  <si>
    <t>Employees consulted on changes to the mechanism, and ahead of changes that may impact their wellbeing</t>
  </si>
  <si>
    <t>Concerns resolved in a timely manner, without negatively impacting progress towards other Break-Even Goals</t>
  </si>
  <si>
    <t>People who use the concerns mechanism are fully informed throughout the process</t>
  </si>
  <si>
    <t>Where necessary employees are provided with access to neutral/independent advice and expertise</t>
  </si>
  <si>
    <t xml:space="preserve"> Team or individual assigned responsibility for implementation of concerns mechanism</t>
  </si>
  <si>
    <t>Concerns mechanism is designed for employee confidentiality and to protect employees from reprisals</t>
  </si>
  <si>
    <t>Information on the existence and use of the concerns mechanism is actively communicated to employees</t>
  </si>
  <si>
    <t>Concerns mechanism designed to accommodate the reporting of all conceivable issues</t>
  </si>
  <si>
    <t>Employees or representatives involved in the design of concerns mechanism</t>
  </si>
  <si>
    <t>Employee concerns
fitness scores</t>
  </si>
  <si>
    <t>Ensure positive outcomes</t>
  </si>
  <si>
    <t>Ensure Transparency</t>
  </si>
  <si>
    <t>Ensure Fairness</t>
  </si>
  <si>
    <t>Ensure accessibility</t>
  </si>
  <si>
    <t>Ensure legitimacy</t>
  </si>
  <si>
    <t>Number of employees</t>
  </si>
  <si>
    <t>Site / Location</t>
  </si>
  <si>
    <t>To be Future-Fit, a company must take step to minimize employee concerns, and implement internal controls to identify and deal fairly with issues that do arise. 
For additional guidance on evaluating or setting effective internal controls, see the Implementation Guide.</t>
  </si>
  <si>
    <r>
      <t>Overall 
Fitness Score</t>
    </r>
    <r>
      <rPr>
        <sz val="11"/>
        <color theme="0"/>
        <rFont val="Franklin Gothic Book"/>
        <family val="2"/>
      </rPr>
      <t xml:space="preserve">
(employee # weighted)</t>
    </r>
  </si>
  <si>
    <t>BE14 Employee concerns are actively solicited, impartially judged and transparently addressed</t>
  </si>
  <si>
    <t>When needed, steps are taken to adjust the controls</t>
  </si>
  <si>
    <t>Effectiveness of anti-discrimination controls regularly assessed</t>
  </si>
  <si>
    <t>Actions taken and feedback received documented for internal reference</t>
  </si>
  <si>
    <t>Procedures in place to report discrimination or breaches of the anti-discrimination policy</t>
  </si>
  <si>
    <t>Policy part of recruitment, training, performance evaluations and compensation guideline</t>
  </si>
  <si>
    <t>Policy actively communicated to employees</t>
  </si>
  <si>
    <t>Senior official responsible for discrimination and equity issues</t>
  </si>
  <si>
    <t>Clearly stated position and commitment to being a discrimination-free workplace</t>
  </si>
  <si>
    <t>Discrimination
fitness scores</t>
  </si>
  <si>
    <t>Monitoring</t>
  </si>
  <si>
    <t>Corrective measures</t>
  </si>
  <si>
    <t>Directive and preventive measures</t>
  </si>
  <si>
    <t>Anti-discrimination policy</t>
  </si>
  <si>
    <r>
      <t xml:space="preserve">To be Future-Fit, a company must ensure that each employee is working under conditions and supported by systems that protect them from discrimination.  
For additional guidance on evaluating or setting effective internal controls, see the </t>
    </r>
    <r>
      <rPr>
        <i/>
        <sz val="11"/>
        <color theme="1" tint="0.249977111117893"/>
        <rFont val="Franklin Gothic Book"/>
        <family val="2"/>
      </rPr>
      <t>Implementation Guide.</t>
    </r>
  </si>
  <si>
    <t>BE13 Employees are not subject to discrimination</t>
  </si>
  <si>
    <r>
      <t xml:space="preserve">"Yes" if </t>
    </r>
    <r>
      <rPr>
        <b/>
        <i/>
        <sz val="11"/>
        <color theme="1" tint="0.249977111117893"/>
        <rFont val="Franklin Gothic Book"/>
        <family val="2"/>
      </rPr>
      <t xml:space="preserve">both </t>
    </r>
    <r>
      <rPr>
        <i/>
        <sz val="11"/>
        <color theme="1" tint="0.249977111117893"/>
        <rFont val="Franklin Gothic Book"/>
        <family val="2"/>
      </rPr>
      <t>are true.</t>
    </r>
  </si>
  <si>
    <r>
      <t xml:space="preserve">"Yes" if </t>
    </r>
    <r>
      <rPr>
        <b/>
        <i/>
        <sz val="11"/>
        <color theme="1" tint="0.249977111117893"/>
        <rFont val="Franklin Gothic Book"/>
        <family val="2"/>
      </rPr>
      <t xml:space="preserve">all four </t>
    </r>
    <r>
      <rPr>
        <i/>
        <sz val="11"/>
        <color theme="1" tint="0.249977111117893"/>
        <rFont val="Franklin Gothic Book"/>
        <family val="2"/>
      </rPr>
      <t>are true.</t>
    </r>
  </si>
  <si>
    <t>Minimum 14 weeks of paid maternity or paternity leave</t>
  </si>
  <si>
    <t xml:space="preserve"> Right to take at least one unpaid rest day for every six consecutive days worked</t>
  </si>
  <si>
    <t>Three work weeks of annual paid leave</t>
  </si>
  <si>
    <t>Reasonable notice for changes to work schedules</t>
  </si>
  <si>
    <t>Freedom to refuse work if company does not offer regular hours</t>
  </si>
  <si>
    <t>Right to be compensated for overtime</t>
  </si>
  <si>
    <t>Contractual obligation to work no more than 40 hours per week</t>
  </si>
  <si>
    <t>Established right to form and join trade unions of choice and right to bargain collectively</t>
  </si>
  <si>
    <t>Part-time workers hired on contracts proportionate to comparable full-time workers</t>
  </si>
  <si>
    <t>Adherence to the minimum working age defined by ILO Convention no. 138</t>
  </si>
  <si>
    <t>Employment terms fitness scores</t>
  </si>
  <si>
    <t>Maternity and paternity leave</t>
  </si>
  <si>
    <t>Holiday</t>
  </si>
  <si>
    <t>Fair working hours</t>
  </si>
  <si>
    <t>Freedom of association</t>
  </si>
  <si>
    <t>Fair employment status</t>
  </si>
  <si>
    <t>No child labor</t>
  </si>
  <si>
    <r>
      <t xml:space="preserve">To be Future-Fit, a company must: 
-  Ensure the company does not use </t>
    </r>
    <r>
      <rPr>
        <b/>
        <sz val="11"/>
        <color theme="1" tint="0.249977111117893"/>
        <rFont val="Franklin Gothic Book"/>
        <family val="2"/>
      </rPr>
      <t>child labor</t>
    </r>
    <r>
      <rPr>
        <sz val="11"/>
        <color theme="1" tint="0.249977111117893"/>
        <rFont val="Franklin Gothic Book"/>
        <family val="2"/>
      </rPr>
      <t xml:space="preserve">
-  Ensure employees’ </t>
    </r>
    <r>
      <rPr>
        <b/>
        <sz val="11"/>
        <color theme="1" tint="0.249977111117893"/>
        <rFont val="Franklin Gothic Book"/>
        <family val="2"/>
      </rPr>
      <t>freedom of association</t>
    </r>
    <r>
      <rPr>
        <sz val="11"/>
        <color theme="1" tint="0.249977111117893"/>
        <rFont val="Franklin Gothic Book"/>
        <family val="2"/>
      </rPr>
      <t xml:space="preserve">
-  Structure contracts to include </t>
    </r>
    <r>
      <rPr>
        <b/>
        <sz val="11"/>
        <color theme="1" tint="0.249977111117893"/>
        <rFont val="Franklin Gothic Book"/>
        <family val="2"/>
      </rPr>
      <t>fair working hours</t>
    </r>
    <r>
      <rPr>
        <sz val="11"/>
        <color theme="1" tint="0.249977111117893"/>
        <rFont val="Franklin Gothic Book"/>
        <family val="2"/>
      </rPr>
      <t xml:space="preserve">
-  Accommodate appropriate </t>
    </r>
    <r>
      <rPr>
        <b/>
        <sz val="11"/>
        <color theme="1" tint="0.249977111117893"/>
        <rFont val="Franklin Gothic Book"/>
        <family val="2"/>
      </rPr>
      <t>periods of leave</t>
    </r>
    <r>
      <rPr>
        <sz val="11"/>
        <color theme="1" tint="0.249977111117893"/>
        <rFont val="Franklin Gothic Book"/>
        <family val="2"/>
      </rPr>
      <t xml:space="preserve"> from work</t>
    </r>
  </si>
  <si>
    <t>BE12 Employees are subject to fair employment terms</t>
  </si>
  <si>
    <t>Living wages
fitness scores</t>
  </si>
  <si>
    <t>Number of employees paid at least a living wage</t>
  </si>
  <si>
    <t>To be Future-Fit a company must pay all its employees at least a living wage. There are several approaches a company may take to determine living wage thresholds: 
-  Use existing, up-to-date estimates from credible third parties
-  Partner with or commission a credible third party to undertake the calculations
-  Undertake its own calculations
-  A combination of the above</t>
  </si>
  <si>
    <t>BE11 Employees are paid at least a living wage</t>
  </si>
  <si>
    <t>These accident and fatality numbers provide additional context.</t>
  </si>
  <si>
    <t>No. of accident-days lost</t>
  </si>
  <si>
    <t>Work-related accidents</t>
  </si>
  <si>
    <r>
      <t xml:space="preserve">"Yes" if </t>
    </r>
    <r>
      <rPr>
        <b/>
        <i/>
        <sz val="11"/>
        <color theme="1" tint="0.249977111117893"/>
        <rFont val="Franklin Gothic Book"/>
        <family val="2"/>
      </rPr>
      <t xml:space="preserve">all three </t>
    </r>
    <r>
      <rPr>
        <i/>
        <sz val="11"/>
        <color theme="1" tint="0.249977111117893"/>
        <rFont val="Franklin Gothic Book"/>
        <family val="2"/>
      </rPr>
      <t>are true</t>
    </r>
  </si>
  <si>
    <t>Timing and length of work breaks is flexible to facilitate exercise</t>
  </si>
  <si>
    <t>Employees are permitted to take breaks during working hours</t>
  </si>
  <si>
    <t>Access to healthy eating options on site or within reasonable distance</t>
  </si>
  <si>
    <t>All communal areas, both inside and outside, are smoke free</t>
  </si>
  <si>
    <t>All work environments are smoke free</t>
  </si>
  <si>
    <t>Policy to support  employees affected by  work-related health issues</t>
  </si>
  <si>
    <t>Access to guidance or  resources to address sources of stress at work</t>
  </si>
  <si>
    <t>Flexible working conditions are available to employees</t>
  </si>
  <si>
    <t>Zero-tolerance policy regarding bullying and harassment</t>
  </si>
  <si>
    <t>Workplace safety policies and activities are regularly monitored for new hazards</t>
  </si>
  <si>
    <t>A risk assessment and mitigation program has been implemented</t>
  </si>
  <si>
    <t>Controls are in place to identify, assess, and eliminate or control hazards</t>
  </si>
  <si>
    <t>Comments-- Include descriptions of work-related accidents and fatalities</t>
  </si>
  <si>
    <t>Employee health
fitness scores</t>
  </si>
  <si>
    <t>Physical activity</t>
  </si>
  <si>
    <t>Nutrition</t>
  </si>
  <si>
    <t>Smoking</t>
  </si>
  <si>
    <t>Support for lost time</t>
  </si>
  <si>
    <t>Mental wellbeing</t>
  </si>
  <si>
    <t>Physical safety</t>
  </si>
  <si>
    <r>
      <t xml:space="preserve">To be Future-Fit a company must: 
- Ensure the </t>
    </r>
    <r>
      <rPr>
        <b/>
        <sz val="11"/>
        <color theme="1" tint="0.249977111117893"/>
        <rFont val="Franklin Gothic Book"/>
        <family val="2"/>
      </rPr>
      <t xml:space="preserve">safety </t>
    </r>
    <r>
      <rPr>
        <sz val="11"/>
        <color theme="1" tint="0.249977111117893"/>
        <rFont val="Franklin Gothic Book"/>
        <family val="2"/>
      </rPr>
      <t xml:space="preserve">of all workers;
- Foster </t>
    </r>
    <r>
      <rPr>
        <b/>
        <sz val="11"/>
        <color theme="1" tint="0.249977111117893"/>
        <rFont val="Franklin Gothic Book"/>
        <family val="2"/>
      </rPr>
      <t>physical health</t>
    </r>
    <r>
      <rPr>
        <sz val="11"/>
        <color theme="1" tint="0.249977111117893"/>
        <rFont val="Franklin Gothic Book"/>
        <family val="2"/>
      </rPr>
      <t xml:space="preserve"> (e.g. through proactive positions on exercise, nutrition and smoking); and
- Foster </t>
    </r>
    <r>
      <rPr>
        <b/>
        <sz val="11"/>
        <color theme="1" tint="0.249977111117893"/>
        <rFont val="Franklin Gothic Book"/>
        <family val="2"/>
      </rPr>
      <t>mental wellbeing</t>
    </r>
    <r>
      <rPr>
        <sz val="11"/>
        <color theme="1" tint="0.249977111117893"/>
        <rFont val="Franklin Gothic Book"/>
        <family val="2"/>
      </rPr>
      <t xml:space="preserve"> (e.g. zero tolerance of bullying and harassment). 
There are six categories of criteria that determine the future-fitness of a </t>
    </r>
    <r>
      <rPr>
        <b/>
        <sz val="11"/>
        <color theme="1" tint="0.249977111117893"/>
        <rFont val="Franklin Gothic Book"/>
        <family val="2"/>
      </rPr>
      <t>health policy</t>
    </r>
    <r>
      <rPr>
        <sz val="11"/>
        <color theme="1" tint="0.249977111117893"/>
        <rFont val="Franklin Gothic Book"/>
        <family val="2"/>
      </rPr>
      <t xml:space="preserve">: physical safety in the workplace, mental wellbeing, physical activity, nutrition, smoking and support for lost time. An employee is considered to be subject to a Future-Fit health policy when all six categories are satisfied.  
The company should also report the following as </t>
    </r>
    <r>
      <rPr>
        <b/>
        <sz val="11"/>
        <color theme="1" tint="0.249977111117893"/>
        <rFont val="Franklin Gothic Book"/>
        <family val="2"/>
      </rPr>
      <t>context indicators</t>
    </r>
    <r>
      <rPr>
        <sz val="11"/>
        <color theme="1" tint="0.249977111117893"/>
        <rFont val="Franklin Gothic Book"/>
        <family val="2"/>
      </rPr>
      <t xml:space="preserve">: 
- The number of work-related accidents, illnesses, and cases of disease that caused lost time of more than one business day and how many days were lost;
- The number of work-related fatalities (if any) that occurred within the reporting period. </t>
    </r>
  </si>
  <si>
    <t>BE10 Employee health is safeguarded</t>
  </si>
  <si>
    <t>Number of communities</t>
  </si>
  <si>
    <r>
      <t xml:space="preserve">"Yes" if </t>
    </r>
    <r>
      <rPr>
        <b/>
        <i/>
        <sz val="11"/>
        <color theme="1" tint="0.249977111117893"/>
        <rFont val="Franklin Gothic Book"/>
        <family val="2"/>
      </rPr>
      <t>all three</t>
    </r>
    <r>
      <rPr>
        <i/>
        <sz val="11"/>
        <color theme="1" tint="0.249977111117893"/>
        <rFont val="Franklin Gothic Book"/>
        <family val="2"/>
      </rPr>
      <t xml:space="preserve"> are true</t>
    </r>
  </si>
  <si>
    <t>Where areas for improvement are identified, the company takes steps to implement those improvements</t>
  </si>
  <si>
    <t>Community members are consulted on issues of potential concern and ahead of  activity that could impact community wellbeing</t>
  </si>
  <si>
    <t>All concerns are resolved in a timely manner, without negatively impacting the health of people or the environment</t>
  </si>
  <si>
    <t>Any complaint - and response - is available for public viewing, insofar as legal and confidentiality restrictions allow</t>
  </si>
  <si>
    <t>Community members  are provided with access to neutral and independent advice and expertise, where necessary</t>
  </si>
  <si>
    <t xml:space="preserve">A team or individual is assigned responsibility for facilitating development and implementation of the concerns mechanism </t>
  </si>
  <si>
    <t>The company communicates using appropriate information channels</t>
  </si>
  <si>
    <t>Information on the existence and use of the concerns mechanism is actively communicated to local communities</t>
  </si>
  <si>
    <t>The concerns mechanisms is designed not to exclude any manner of community concern</t>
  </si>
  <si>
    <t>Stakeholders from  community are actively involved in the design of, and changes to the concerns mechanism</t>
  </si>
  <si>
    <t xml:space="preserve">If yes, has any potentially impacted communities been identified? </t>
  </si>
  <si>
    <t>Has an assessment taken place to identify communities potentially impacted by the company's presence?</t>
  </si>
  <si>
    <t xml:space="preserve">Comments-- Include methodology used to identify potentially impacted communities </t>
  </si>
  <si>
    <t>Identifying communities</t>
  </si>
  <si>
    <t xml:space="preserve">A Future-Fit Business actively seeks to anticipate, avoid and address the concerns of all local communities whose wellbeing may be affected by its operational activities. Once it has identified a local community that could be impacted by its current or planned activities, the company must put in place appropriate mechanisms to address those impacts and to anticipate, and where possible avoid, concerns that may arise in the future. 
Communities vary in terms of their size, their surroundings, their demographic composition, and their primary forms of income and commerce. It is assumed that any one site requires a single distinct mechanism to address concerns. In reality, a site may impact several communities, in different ways, such that each corresponding community concern mechanism would also differ. In lieu of a more and objective method for allowing for and quantifying such differences, an even-weighting method is employed here, such that each community effectively contributes the same proportion to the assessment of the company's progress. </t>
  </si>
  <si>
    <r>
      <t xml:space="preserve">Overall 
Fitness Score
</t>
    </r>
    <r>
      <rPr>
        <sz val="11"/>
        <color theme="0"/>
        <rFont val="Franklin Gothic Book"/>
        <family val="2"/>
      </rPr>
      <t>(average fitness)</t>
    </r>
  </si>
  <si>
    <t>BE09 Community health is safeguarded</t>
  </si>
  <si>
    <t>Past damage to significant areas neutralized (incl. damage by third parties which the company  benefits from)</t>
  </si>
  <si>
    <t>Activities on land used by or near communities are subject to the free, prior and informed consent of those communities</t>
  </si>
  <si>
    <t xml:space="preserve">The right to own or operate on the land is not contested by local communities </t>
  </si>
  <si>
    <t>No activities occur in (or close enough to affect) pristine ecosystems, such as primary forests and wetlands</t>
  </si>
  <si>
    <t xml:space="preserve">Each area of high ecological, social or cultural value is protected from negative impacts </t>
  </si>
  <si>
    <t>It has been identified if potentially affected areas are of high ecological, social or cultural value</t>
  </si>
  <si>
    <t>Local communities and natural ecosystems likely to be affected by operational presence are identified, including ways impacted</t>
  </si>
  <si>
    <r>
      <t>Site area (M</t>
    </r>
    <r>
      <rPr>
        <i/>
        <vertAlign val="superscript"/>
        <sz val="11"/>
        <color theme="1" tint="0.249977111117893"/>
        <rFont val="Franklin Gothic Book"/>
        <family val="2"/>
      </rPr>
      <t>2</t>
    </r>
    <r>
      <rPr>
        <i/>
        <sz val="11"/>
        <color theme="1" tint="0.249977111117893"/>
        <rFont val="Franklin Gothic Book"/>
        <family val="2"/>
      </rPr>
      <t>)</t>
    </r>
  </si>
  <si>
    <t>Encroachment
fitness scores</t>
  </si>
  <si>
    <t>Restoring damage</t>
  </si>
  <si>
    <t>Protecting ecosystems and communities</t>
  </si>
  <si>
    <t>Physical presence</t>
  </si>
  <si>
    <r>
      <t>The company must report the total area of land it owns or controls (including owned or controlled sections of water bodies) for its</t>
    </r>
    <r>
      <rPr>
        <b/>
        <sz val="11"/>
        <color theme="1" tint="0.249977111117893"/>
        <rFont val="Franklin Gothic Book"/>
        <family val="2"/>
      </rPr>
      <t xml:space="preserve"> Context</t>
    </r>
    <r>
      <rPr>
        <sz val="11"/>
        <color theme="1" tint="0.249977111117893"/>
        <rFont val="Franklin Gothic Book"/>
        <family val="2"/>
      </rPr>
      <t xml:space="preserve"> indicator. Note that this data is required for the Progress indicator calculation, so no additional effort is required to obtain it. 
To be Future-Fit, the company must live up to the following criteria, for all company- owned or controlled facilities and fixed assets: 
- All sites are assessed where the company has a physical operational presence;
- Identified ecosystems and communities are protected.
- Past damage has been restored.
Some companies consciously seek to work in collaboration with local communities adjacent to pristine ecosystems in order to foster their protection – for example through eco-tourism. Such activities, properly managed, may be permissible if a credible and independent third party verifies that they are  in the interests of the community and will not degrade the ecosystems concerned. </t>
    </r>
  </si>
  <si>
    <r>
      <t xml:space="preserve">Overall 
Fitness Score
</t>
    </r>
    <r>
      <rPr>
        <sz val="11"/>
        <color theme="0"/>
        <rFont val="Franklin Gothic Book"/>
        <family val="2"/>
      </rPr>
      <t>(area weighted)</t>
    </r>
  </si>
  <si>
    <t>BE08 Operations do not encroach on ecosystems or communities</t>
  </si>
  <si>
    <t>Site assessed - waste generated</t>
  </si>
  <si>
    <t>Operational waste
fitness scores</t>
  </si>
  <si>
    <t>Waste generated in reporting year (MT)</t>
  </si>
  <si>
    <t xml:space="preserve"> Waste generated  in reference year (MT)</t>
  </si>
  <si>
    <t>Site assessed and waste was generated?</t>
  </si>
  <si>
    <r>
      <t>This goal applies to substances that accumulate as a result of operational activities, and remain contained afterwards, so they may be treated or disposed of. Liquid, gaseous, or solid wastes which are accidentally or intentionally discharged directly into the environment are covered by</t>
    </r>
    <r>
      <rPr>
        <i/>
        <sz val="11"/>
        <color theme="1" tint="0.249977111117893"/>
        <rFont val="Franklin Gothic Book"/>
        <family val="2"/>
      </rPr>
      <t xml:space="preserve"> BE05 Operational emissions do not harm people or the environment</t>
    </r>
    <r>
      <rPr>
        <sz val="11"/>
        <color theme="1" tint="0.249977111117893"/>
        <rFont val="Franklin Gothic Book"/>
        <family val="2"/>
      </rPr>
      <t xml:space="preserve">. 
To be Future-Fit, a company must eliminate all avoidable waste generation, and then repurpose all remaining forms of waste in ways that minimize quality loss (and thus prolong the life of the materials concerned). 
If no historic data exists, the first year measured will be used as the reference year. Once a reference year has been chosen, it should not be changed. For further details on setting reference points see the Implementation Guide. </t>
    </r>
  </si>
  <si>
    <r>
      <t>Overall 
Fitness Score</t>
    </r>
    <r>
      <rPr>
        <sz val="11"/>
        <color theme="0"/>
        <rFont val="Franklin Gothic Book"/>
        <family val="2"/>
      </rPr>
      <t xml:space="preserve">
(waste-weight weighted)</t>
    </r>
  </si>
  <si>
    <t>BE07 Operational waste is eliminated</t>
  </si>
  <si>
    <t>No - site not yet assessed</t>
  </si>
  <si>
    <t>No - site has emissions</t>
  </si>
  <si>
    <t>GHG emissions
fitness scores</t>
  </si>
  <si>
    <t>GHG emissions adequately offset (MT)</t>
  </si>
  <si>
    <t>GHG emissions in reporting year (MT)</t>
  </si>
  <si>
    <t xml:space="preserve"> GHG emissions in reference year (MT)</t>
  </si>
  <si>
    <t>Site assessed and NO GHGs are released</t>
  </si>
  <si>
    <r>
      <t>To be Future-Fit a company must reach net zero GHG emissions across its operations. This includes emissions from stationary and mobile sources owned or controlled by the company (</t>
    </r>
    <r>
      <rPr>
        <b/>
        <sz val="11"/>
        <color theme="1" tint="0.249977111117893"/>
        <rFont val="Franklin Gothic Book"/>
        <family val="2"/>
      </rPr>
      <t>Scope 1</t>
    </r>
    <r>
      <rPr>
        <sz val="11"/>
        <color theme="1" tint="0.249977111117893"/>
        <rFont val="Franklin Gothic Book"/>
        <family val="2"/>
      </rPr>
      <t xml:space="preserve"> emissions), and emissions from the generation of purchased or acquired energy (</t>
    </r>
    <r>
      <rPr>
        <b/>
        <sz val="11"/>
        <color theme="1" tint="0.249977111117893"/>
        <rFont val="Franklin Gothic Book"/>
        <family val="2"/>
      </rPr>
      <t>Scope 2</t>
    </r>
    <r>
      <rPr>
        <sz val="11"/>
        <color theme="1" tint="0.249977111117893"/>
        <rFont val="Franklin Gothic Book"/>
        <family val="2"/>
      </rPr>
      <t xml:space="preserve"> emissions). 
If no historic data exists, the first year measured will be used as the reference year. Once a reference year has been chosen, it should not be changed. For further details on setting reference points see the Implementation Guide. 
Progress is considered to be 0% if a company has not identified all GHG emissions. On the other hand, progress is 100% if it has been found that no GHG were released during the reporting period. </t>
    </r>
  </si>
  <si>
    <r>
      <t xml:space="preserve">Overall 
Fitness Score
</t>
    </r>
    <r>
      <rPr>
        <sz val="11"/>
        <color theme="0"/>
        <rFont val="Franklin Gothic Book"/>
        <family val="2"/>
      </rPr>
      <t>(GHG-weight weighted)</t>
    </r>
  </si>
  <si>
    <t>BE06 Operations emit no greenhouse gases</t>
  </si>
  <si>
    <t>Total emissions weight</t>
  </si>
  <si>
    <t>Solid emissions
fitness scores</t>
  </si>
  <si>
    <t>Solid emissions in reporting year (MT)</t>
  </si>
  <si>
    <t>Solid emissions in reference year (MT)</t>
  </si>
  <si>
    <t>Liquid emissions
fitness scores</t>
  </si>
  <si>
    <t>Liquid emissions in reporting year (MT)</t>
  </si>
  <si>
    <t>Liquid emissions in reference year (MT)</t>
  </si>
  <si>
    <t>Fitness on 
gaseous emissions</t>
  </si>
  <si>
    <t>Gaseous emissions in reporting year (MT)</t>
  </si>
  <si>
    <t>Gaseous emissions in reference year (MT)</t>
  </si>
  <si>
    <t>Comments -- Include events involving spills and leaks of harmful substances</t>
  </si>
  <si>
    <t>Fitness on solid emissions</t>
  </si>
  <si>
    <t>Fitness on liquid emissions</t>
  </si>
  <si>
    <t>Fitness on gaseous emissions</t>
  </si>
  <si>
    <t xml:space="preserve">This goal deals with substances intentionally or accidentally discharged directly to the environment.  This covers emissions that are not covered by other break-even goals. That is:
- Liquid, gaseous, or solid wastes which are contained by the company and sent to a third-party for treatment or disposal are covered by BE07 Operational waste is eliminated. 
- Treated wastewater discharged into the environment is covered by BE02 Water use is environmentally responsible and socially equitable.
- Emissions from suppliers’ activities are a factor in the assessment of the supply chain and are covered by BE04 Procurement safeguards the pursuit of future-fitness. 
- Emissions of greenhouse gases from company operations are covered separately by BE06 Operations emit no greenhouse gases.
To be Future-Fit on operational emissions, a company must ensure that across all aspects of its operations, the following statements are all true: 
- All harmful gaseous emissions have been eliminated (e.g. air pollutants, toxic fumes)
- All harmful solid emissions have been eliminated (e.g. scarce metals, use of hazardous pesticides) 
- All harmful liquid emissions have been eliminated (e.g. spills, liquid toxic waste, chemical fluids)
Note that progress is considered to be 0% for a mode of emissions if a company has not yet performed an assessment to identify all harmful emissions. On the other hand, progress is 100% if a full assessment has been undertaken and it has been found that no harmful substances were released during the reporting period. 
If no historic data exists, the first year measured will be used as the reference year. Once a reference year has been chosen, it should not be changed. For further details on setting reference points see the Implementation Guide. </t>
  </si>
  <si>
    <t>Solid emissions</t>
  </si>
  <si>
    <t>Liquid emissions</t>
  </si>
  <si>
    <r>
      <t xml:space="preserve">Overall 
Fitness Score
</t>
    </r>
    <r>
      <rPr>
        <sz val="11"/>
        <color theme="0"/>
        <rFont val="Franklin Gothic Book"/>
        <family val="2"/>
      </rPr>
      <t>(emissions-type weight weighted)</t>
    </r>
  </si>
  <si>
    <t>Gaseous emissions</t>
  </si>
  <si>
    <t>BE05 Operational emissions do not harm people or the environment</t>
  </si>
  <si>
    <t>Procurement fitness on the drivers hotspot</t>
  </si>
  <si>
    <t>Company continuously seeks to procure options with the fewest negative impacts</t>
  </si>
  <si>
    <t>All drivers hotspots from cradle to gate have been avoided or eliminated</t>
  </si>
  <si>
    <t>Purchase DOES NOT fall into the No Use category</t>
  </si>
  <si>
    <t>Purchase type</t>
  </si>
  <si>
    <t>Cost (USD)</t>
  </si>
  <si>
    <t>Purchase</t>
  </si>
  <si>
    <t>Examples: Suppliers' operational activities are driven by unethical business conduct (e.g. bribery practices).</t>
  </si>
  <si>
    <t>Procurement fitness on the people hotspot</t>
  </si>
  <si>
    <t>All people hotspots from cradle to gate have been avoided or eliminated</t>
  </si>
  <si>
    <t>Examples: Suppliers use poor labor practices, including child labor; excessive overtime; forced labor; hazardous working conditions; irresponsible use of agency labor; underpayment or non-payment of wages and benefits; undisclosed subcontracting; discriminatory practices; and/or lack of representation (e.g. the right to bargain collectively).</t>
  </si>
  <si>
    <t>Procurement fitness on the physical presence hotspot</t>
  </si>
  <si>
    <t>All physical presence hotspots from cradle to gate have been avoided or eliminated</t>
  </si>
  <si>
    <t>Examples: Suppliers have harmful uses of land, including encroachment into areas of importance to local communities; conversion of pristine ecosystems (e.g. conversion of primary forests and wetlands); and/or lack of respect for community rights (e.g. land-grabbing practices).</t>
  </si>
  <si>
    <t>Procurement fitness on the waste hotspot</t>
  </si>
  <si>
    <t>All waste hotspots from cradle to gate have been avoided or eliminated</t>
  </si>
  <si>
    <t xml:space="preserve">Example: Suppliers use processes which result in large amounts of waste generation.  </t>
  </si>
  <si>
    <t>Procurement fitness on the other harmful emissions hotspot</t>
  </si>
  <si>
    <t>All other harmful emissions hotspots from cradle to gate have been avoided or eliminated</t>
  </si>
  <si>
    <t>Procurement fitness on the GHG pollution hotspot</t>
  </si>
  <si>
    <t>All GHG pollution hotspots from cradle to gate have been avoided or eliminated</t>
  </si>
  <si>
    <t>Example: Supplies use GHG-intensive processes.</t>
  </si>
  <si>
    <t>Procurement fitness on the natural resources hotspot</t>
  </si>
  <si>
    <t>All natural resources  hotspots from cradle to gate have been avoided or eliminated</t>
  </si>
  <si>
    <t>Examples: Suppliers rely on natural resources whose sourcing contributes to loss of biodiversity, depletion of renewable resources, armed conflicts, poor treatment of animals, physical degradation of the environment and/or diversion of agricultural crops to energy feedstocks.</t>
  </si>
  <si>
    <t>Procurement fitness on the energy hotspot</t>
  </si>
  <si>
    <t>All water hotspots from cradle to gate have been avoided or eliminated</t>
  </si>
  <si>
    <t>Examples: Suppliers use water-intensive processes which are likely to rely on water from water-stressed sources and/or prevent others from meeting their water needs.</t>
  </si>
  <si>
    <t>Note: The above purchase information is auto-populated into the other potential hotspot assessments, below.</t>
  </si>
  <si>
    <t>Ancillary spend</t>
  </si>
  <si>
    <t>Plastic shrink wrap</t>
  </si>
  <si>
    <t>Paper for instruction manuals</t>
  </si>
  <si>
    <t>Product input</t>
  </si>
  <si>
    <t>Frames</t>
  </si>
  <si>
    <t>Outsourced core function</t>
  </si>
  <si>
    <t>Motors</t>
  </si>
  <si>
    <t>All energy hotspots from cradle to gate have been avoided or eliminated</t>
  </si>
  <si>
    <t>Examples: Suppliers use energy-intensive processes which are likely to rely on non-renewable energy and/or prevent others from meeting their energy needs.</t>
  </si>
  <si>
    <r>
      <t xml:space="preserve">Companies are </t>
    </r>
    <r>
      <rPr>
        <b/>
        <sz val="11"/>
        <color theme="1" tint="0.249977111117893"/>
        <rFont val="Franklin Gothic Book"/>
        <family val="2"/>
      </rPr>
      <t>mutually accountable</t>
    </r>
    <r>
      <rPr>
        <sz val="11"/>
        <color theme="1" tint="0.249977111117893"/>
        <rFont val="Franklin Gothic Book"/>
        <family val="2"/>
      </rPr>
      <t xml:space="preserve"> for the environmental and social impacts caused by the production and delivery of goods and services procured from suppliers. Purchases fall into three categories: </t>
    </r>
    <r>
      <rPr>
        <i/>
        <sz val="11"/>
        <color theme="1" tint="0.249977111117893"/>
        <rFont val="Franklin Gothic Book"/>
        <family val="2"/>
      </rPr>
      <t>ancillary purchases, product inputs, and outsourced core functions</t>
    </r>
    <r>
      <rPr>
        <sz val="11"/>
        <color theme="1" tint="0.249977111117893"/>
        <rFont val="Franklin Gothic Book"/>
        <family val="2"/>
      </rPr>
      <t xml:space="preserve">. The company must perform an analysis of purchases in each category to appropriately identify and address nine potential social and environmental hotspots: </t>
    </r>
    <r>
      <rPr>
        <i/>
        <sz val="11"/>
        <color theme="1" tint="0.249977111117893"/>
        <rFont val="Franklin Gothic Book"/>
        <family val="2"/>
      </rPr>
      <t>energy, water, natural resources, GHG emissions, harmful emissions, waste, physical presence, people, and drivers</t>
    </r>
    <r>
      <rPr>
        <sz val="11"/>
        <color theme="1" tint="0.249977111117893"/>
        <rFont val="Franklin Gothic Book"/>
        <family val="2"/>
      </rPr>
      <t xml:space="preserve">. The company’s aggregate Future-Fit progress with respect to each issue area is the cost-weighted sum of the future-fitness scores of all product inputs, outsourced core functions and ancillary purchases. 
Assess each purchase (or group of purchases) against the nine criteria by choosing Yes or No from the drop-down menus for each criterion. Each purchase decision must be screened, but this assessment only needs to be repeated in cases where the outcomes are likely to differ. For instance, a company purchasing paper as an input might perform a hotspot assessment when it places an annual block purchase order for the year, and not for each weekly shipment. As with all starting values in this workbook, overwrite all example data with company data. </t>
    </r>
  </si>
  <si>
    <t>BE04 Procurement safeguards the pursuit of future-fitness</t>
  </si>
  <si>
    <t>Wood is sustainable harvested from company-owned woodlots</t>
  </si>
  <si>
    <t>None of the above</t>
  </si>
  <si>
    <t>Renewable natural resource</t>
  </si>
  <si>
    <t>Wood / lumber used for shipping pallets</t>
  </si>
  <si>
    <t>Sourcing is in line with leading industry standards</t>
  </si>
  <si>
    <t>Controls are in place to protect ecosystems from production impacts</t>
  </si>
  <si>
    <t>Health of affected ecosystems are maintained</t>
  </si>
  <si>
    <t>Destructive extraction techniques are eliminated</t>
  </si>
  <si>
    <t>Sourcing do not contribute to conflict or human rights violations</t>
  </si>
  <si>
    <t>Hunting of endangered animals eliminated</t>
  </si>
  <si>
    <t>Animal welfare is maintained</t>
  </si>
  <si>
    <t>Sourcing in line with leading industry standards</t>
  </si>
  <si>
    <t>Destructive farming and harvesting techniques are eliminated</t>
  </si>
  <si>
    <t>Controls are in place to protect against invasive species</t>
  </si>
  <si>
    <t>Aquatic ecosystems are protected from production impacts</t>
  </si>
  <si>
    <t>Ecosystem health is maintained</t>
  </si>
  <si>
    <t>Harvesting rates respect regeneration rates</t>
  </si>
  <si>
    <t>Are any of the following true?</t>
  </si>
  <si>
    <t>Comments -- Include description and scope of natural resources not yet verified to be Future-Fit</t>
  </si>
  <si>
    <t xml:space="preserve">Natural resources
fitness score </t>
  </si>
  <si>
    <t>Fitness criteria for non-renewable resources</t>
  </si>
  <si>
    <t>Fitness criteria for animals</t>
  </si>
  <si>
    <t>Fitness criteria for renewable natural resources</t>
  </si>
  <si>
    <t>Common criteria</t>
  </si>
  <si>
    <t>Resource type</t>
  </si>
  <si>
    <t>Value of the natural resource (USD)</t>
  </si>
  <si>
    <t>Natural resource</t>
  </si>
  <si>
    <r>
      <rPr>
        <i/>
        <sz val="11"/>
        <color theme="1" tint="0.249977111117893"/>
        <rFont val="Franklin Gothic Book"/>
        <family val="2"/>
      </rPr>
      <t xml:space="preserve">NOTE: This natural resources goal only applies to companies that are directly involved in harvesting or extracting virgin / raw natural resources, either for sale or for use in their own operations. If a company does not do this, its score is 100% on this goal because it is causing no harm in this area. </t>
    </r>
    <r>
      <rPr>
        <sz val="11"/>
        <color theme="1" tint="0.249977111117893"/>
        <rFont val="Franklin Gothic Book"/>
        <family val="2"/>
      </rPr>
      <t xml:space="preserve">
To be sustainable, a company must:
- Preserve the health of all natural resources it owns or manages;
- Protect the health of any ecosystems and communities impacted by harvesting and extraction activities.
A natural resource is 100% fit if it is managed in accordance with the fitness criteria outlined in the headings of the columns, below. Otherwise, the natural resource is considered 0% fit. If all of the criteria are upheld for a fraction of a natural resource (e.g. because practices differ across two sites), a company can score that fraction as 100% fit. Conversely, if a natural resource has not yet been assessed against the fitness criteria, it should be considered 0% fit. 
A dollar value should be attributed to each company-managed or owned natural resource in order to integrate them into the company’s overall fitness calculation. Where possible, the company should determine this dollar value by using the market price.</t>
    </r>
  </si>
  <si>
    <r>
      <t xml:space="preserve">Overall 
Fitness Score
</t>
    </r>
    <r>
      <rPr>
        <sz val="11"/>
        <color theme="0"/>
        <rFont val="Franklin Gothic Book"/>
        <family val="2"/>
      </rPr>
      <t>(weighted by value)</t>
    </r>
  </si>
  <si>
    <t>BE03 Natural resources are managed to respect the welfare of ecosystems, people and animals</t>
  </si>
  <si>
    <t xml:space="preserve">Estimate: Check discharge from basement R&amp;D lab </t>
  </si>
  <si>
    <t>Some plant water discharge is being investigated</t>
  </si>
  <si>
    <t>Water discharge
 fitness scores</t>
  </si>
  <si>
    <t>Total volume of discharged water</t>
  </si>
  <si>
    <t>Volume of fit discharged water</t>
  </si>
  <si>
    <t>Water consumption
 fitness scores</t>
  </si>
  <si>
    <t>Total commercial water consumption</t>
  </si>
  <si>
    <t>Commercial water consumption from unfit sources</t>
  </si>
  <si>
    <r>
      <t>Commercial water consumption from fit sources (m</t>
    </r>
    <r>
      <rPr>
        <i/>
        <vertAlign val="superscript"/>
        <sz val="11"/>
        <color theme="1" tint="0.249977111117893"/>
        <rFont val="Franklin Gothic Book"/>
        <family val="2"/>
      </rPr>
      <t>3</t>
    </r>
    <r>
      <rPr>
        <i/>
        <sz val="11"/>
        <color theme="1" tint="0.249977111117893"/>
        <rFont val="Franklin Gothic Book"/>
        <family val="2"/>
      </rPr>
      <t>)</t>
    </r>
  </si>
  <si>
    <t>Commercial water consumption adequately offset</t>
  </si>
  <si>
    <t>Volume of water consumed by workers from unfit sources</t>
  </si>
  <si>
    <t>Volume of water consumption from unfit sources</t>
  </si>
  <si>
    <t>Volume of water consumed by workers from fit sources</t>
  </si>
  <si>
    <t>Volume of water consumption from fit sources</t>
  </si>
  <si>
    <t>Comments -- Include estimation method(s) used to determine workers’ personal use of water</t>
  </si>
  <si>
    <t>Water discharge</t>
  </si>
  <si>
    <t>Water consumption</t>
  </si>
  <si>
    <r>
      <t xml:space="preserve">To be Future-Fit with respect to </t>
    </r>
    <r>
      <rPr>
        <b/>
        <sz val="11"/>
        <color theme="1" tint="0.249977111117893"/>
        <rFont val="Franklin Gothic Book"/>
        <family val="2"/>
      </rPr>
      <t>water consumption</t>
    </r>
    <r>
      <rPr>
        <sz val="11"/>
        <color theme="1" tint="0.249977111117893"/>
        <rFont val="Franklin Gothic Book"/>
        <family val="2"/>
      </rPr>
      <t>, for any water-stressed source the company must eliminate its contribution to that stress, by either: 
- Eliminating water consumption from that water source relating to its commercial or industrial activities; or 
- Becoming water neutral by offsetting relevant commercial or industrial water consumption from that source with</t>
    </r>
    <r>
      <rPr>
        <i/>
        <sz val="11"/>
        <color theme="1" tint="0.249977111117893"/>
        <rFont val="Franklin Gothic Book"/>
        <family val="2"/>
      </rPr>
      <t xml:space="preserve"> local</t>
    </r>
    <r>
      <rPr>
        <sz val="11"/>
        <color theme="1" tint="0.249977111117893"/>
        <rFont val="Franklin Gothic Book"/>
        <family val="2"/>
      </rPr>
      <t xml:space="preserve"> offsetting projects.
A company operating in a water-stressed region is not expected to eliminate water consumed by its</t>
    </r>
    <r>
      <rPr>
        <b/>
        <sz val="11"/>
        <color theme="1" tint="0.249977111117893"/>
        <rFont val="Franklin Gothic Book"/>
        <family val="2"/>
      </rPr>
      <t xml:space="preserve"> workers</t>
    </r>
    <r>
      <rPr>
        <sz val="11"/>
        <color theme="1" tint="0.249977111117893"/>
        <rFont val="Franklin Gothic Book"/>
        <family val="2"/>
      </rPr>
      <t xml:space="preserve"> for drinking and sanitation. Instead, the focus is on commercial and industrial consumption – meaning water consumed during manufacturing, transportation, and distribution of products, or the provision and delivery of services. Volume of water consumed by workers from fit/unfit sources is the water consumed by workers for drinking and sanitation purposes. If a site receives water from several sources, and is unable to distinguish between the sources for commercial purposes and worker needs, a reasonable approach is to split total worker consumption across the sources in proportion to each source’s contribution to total water consumption.
Volume of water consumption from </t>
    </r>
    <r>
      <rPr>
        <b/>
        <sz val="11"/>
        <color theme="1" tint="0.249977111117893"/>
        <rFont val="Franklin Gothic Book"/>
        <family val="2"/>
      </rPr>
      <t>fit sources</t>
    </r>
    <r>
      <rPr>
        <sz val="11"/>
        <color theme="1" tint="0.249977111117893"/>
        <rFont val="Franklin Gothic Book"/>
        <family val="2"/>
      </rPr>
      <t xml:space="preserve"> is the volume of water consumption from sources that are not suffering from water stress.
Volume of water consumption from</t>
    </r>
    <r>
      <rPr>
        <b/>
        <sz val="11"/>
        <color theme="1" tint="0.249977111117893"/>
        <rFont val="Franklin Gothic Book"/>
        <family val="2"/>
      </rPr>
      <t xml:space="preserve"> unfit sources</t>
    </r>
    <r>
      <rPr>
        <sz val="11"/>
        <color theme="1" tint="0.249977111117893"/>
        <rFont val="Franklin Gothic Book"/>
        <family val="2"/>
      </rPr>
      <t xml:space="preserve"> is the volume of water consumption from sources that are suffering from water stress, or which has not yet been assessed.
To be Future-Fit with respect to </t>
    </r>
    <r>
      <rPr>
        <b/>
        <sz val="11"/>
        <color theme="1" tint="0.249977111117893"/>
        <rFont val="Franklin Gothic Book"/>
        <family val="2"/>
      </rPr>
      <t>water discharge</t>
    </r>
    <r>
      <rPr>
        <sz val="11"/>
        <color theme="1" tint="0.249977111117893"/>
        <rFont val="Franklin Gothic Book"/>
        <family val="2"/>
      </rPr>
      <t>, the company must verify that all water discharged is verifiably treated and returned to safe discharge characteristics before it is emitted back into nature. All water discharges must be included, whether the company classifies them as water discharge, effluent or wastewater, and whether the company discharges that water itself, or whether it is managed and later discharged by third parties.</t>
    </r>
  </si>
  <si>
    <t>Discharge fitness</t>
  </si>
  <si>
    <r>
      <t xml:space="preserve">Overall water
fitness score
</t>
    </r>
    <r>
      <rPr>
        <sz val="11"/>
        <color theme="0"/>
        <rFont val="Franklin Gothic Book"/>
        <family val="2"/>
      </rPr>
      <t>(weighted by water used)</t>
    </r>
  </si>
  <si>
    <t>Consumption fitness</t>
  </si>
  <si>
    <t>BE02 Water use is environmentally responsible and socially equitable</t>
  </si>
  <si>
    <t>(If necessary, allow for more rows above, to match the site information in the Company Info worksheet)</t>
  </si>
  <si>
    <t>Total energy used</t>
  </si>
  <si>
    <t>Electricity + natural gas</t>
  </si>
  <si>
    <t>Electricity + propane + natural gas</t>
  </si>
  <si>
    <t>Electricity + propane + gasoline + natural gas</t>
  </si>
  <si>
    <t>Fitness 
on energy</t>
  </si>
  <si>
    <t>Total amount of energy used (GJ)</t>
  </si>
  <si>
    <t>Amount of renewable energy used</t>
  </si>
  <si>
    <t>Site  / Location</t>
  </si>
  <si>
    <t>A Future-Fit Business ensures that all energy consumed ‒ as electricity, heat or fuel ‒ is derived from renewable energy sources: solar, wind, ocean, hydropower, geothermal resources, and biomass. 
Estimate energy consumption and use appropriate conversion factors to express it in consistent units, such as joules, gigajoules (GJ) or kilowatt hours (kWh).</t>
  </si>
  <si>
    <r>
      <t xml:space="preserve">Overall energy
fitness score
</t>
    </r>
    <r>
      <rPr>
        <sz val="11"/>
        <color theme="0"/>
        <rFont val="Franklin Gothic Book"/>
        <family val="2"/>
      </rPr>
      <t>(weighted by energy used)</t>
    </r>
  </si>
  <si>
    <t>BE01 Energy is from renewable sources</t>
  </si>
  <si>
    <t>Financial assets</t>
  </si>
  <si>
    <t xml:space="preserve">Right taxes </t>
  </si>
  <si>
    <t>Ethics</t>
  </si>
  <si>
    <t>Product harm</t>
  </si>
  <si>
    <t>Product concerns</t>
  </si>
  <si>
    <t>Product communications</t>
  </si>
  <si>
    <t>Community health</t>
  </si>
  <si>
    <t>Employee concerns</t>
  </si>
  <si>
    <t>Discrimination</t>
  </si>
  <si>
    <t>Employment terms</t>
  </si>
  <si>
    <t>Employee health</t>
  </si>
  <si>
    <t>Repurposing</t>
  </si>
  <si>
    <t>Product GHGs</t>
  </si>
  <si>
    <t>Operations waste</t>
  </si>
  <si>
    <t>Operations GHGs</t>
  </si>
  <si>
    <t>Operations emissions</t>
  </si>
  <si>
    <t>Procurement</t>
  </si>
  <si>
    <t>Natural resources</t>
  </si>
  <si>
    <t>Renewable energy</t>
  </si>
  <si>
    <r>
      <rPr>
        <b/>
        <sz val="11"/>
        <color theme="1"/>
        <rFont val="Franklin Gothic Book"/>
        <family val="2"/>
      </rPr>
      <t xml:space="preserve">No "Relevance" criteria: </t>
    </r>
    <r>
      <rPr>
        <sz val="11"/>
        <color theme="1"/>
        <rFont val="Franklin Gothic Book"/>
        <family val="2"/>
      </rPr>
      <t>Each Break-Even Goal tab in the Calculators includes a Relevance column which asks users to state whether specific sites, employees or products are to be included within the fitness assessment or whether they should be excluded because they are not relevant, there is insufficient data, or for some other reason. The BExx calculations in this Toolkit does not contain a Relevance factor -- all line items are considered to be relevant and are included, and all calculation formulas have been appropriately simplified. If a line item is not relevant, it should be omitted or if there is incomplete data for it, estimate it and add a note in the Comments column beside it.</t>
    </r>
  </si>
  <si>
    <t>Doug Wilson, Board Chair
dougw@lcproducts.com
905-666-7774   x88</t>
  </si>
  <si>
    <r>
      <rPr>
        <b/>
        <sz val="18"/>
        <color theme="0"/>
        <rFont val="Franklin Gothic Book"/>
        <family val="2"/>
      </rPr>
      <t>Break-Even Scores</t>
    </r>
    <r>
      <rPr>
        <b/>
        <sz val="16"/>
        <color theme="0"/>
        <rFont val="Franklin Gothic Book"/>
        <family val="2"/>
      </rPr>
      <t xml:space="preserve">
</t>
    </r>
    <r>
      <rPr>
        <sz val="12"/>
        <color theme="0"/>
        <rFont val="Franklin Gothic Book"/>
        <family val="2"/>
      </rPr>
      <t xml:space="preserve">on sustainability goals that every company </t>
    </r>
    <r>
      <rPr>
        <i/>
        <sz val="12"/>
        <color theme="0"/>
        <rFont val="Franklin Gothic Book"/>
        <family val="2"/>
      </rPr>
      <t>must</t>
    </r>
    <r>
      <rPr>
        <sz val="12"/>
        <color theme="0"/>
        <rFont val="Franklin Gothic Book"/>
        <family val="2"/>
      </rPr>
      <t xml:space="preserve"> meet, based on best-available science</t>
    </r>
  </si>
  <si>
    <r>
      <t xml:space="preserve">Energy </t>
    </r>
    <r>
      <rPr>
        <i/>
        <sz val="14"/>
        <color theme="1" tint="0.249977111117893"/>
        <rFont val="Franklin Gothic Book"/>
        <family val="2"/>
      </rPr>
      <t>hotspot fitness</t>
    </r>
  </si>
  <si>
    <r>
      <t xml:space="preserve">Water </t>
    </r>
    <r>
      <rPr>
        <i/>
        <sz val="14"/>
        <color theme="1" tint="0.249977111117893"/>
        <rFont val="Franklin Gothic Book"/>
        <family val="2"/>
      </rPr>
      <t>hotspot fitness</t>
    </r>
  </si>
  <si>
    <r>
      <t xml:space="preserve">Natural resources </t>
    </r>
    <r>
      <rPr>
        <i/>
        <sz val="14"/>
        <color theme="1" tint="0.249977111117893"/>
        <rFont val="Franklin Gothic Book"/>
        <family val="2"/>
      </rPr>
      <t>hotspot fitness</t>
    </r>
  </si>
  <si>
    <r>
      <t xml:space="preserve">GHG pollution </t>
    </r>
    <r>
      <rPr>
        <i/>
        <sz val="14"/>
        <color theme="1" tint="0.249977111117893"/>
        <rFont val="Franklin Gothic Book"/>
        <family val="2"/>
      </rPr>
      <t>hotspot fitness</t>
    </r>
  </si>
  <si>
    <r>
      <t xml:space="preserve">Other harmful emissions </t>
    </r>
    <r>
      <rPr>
        <i/>
        <sz val="14"/>
        <color theme="1" tint="0.249977111117893"/>
        <rFont val="Franklin Gothic Book"/>
        <family val="2"/>
      </rPr>
      <t>hotspot fitness</t>
    </r>
  </si>
  <si>
    <r>
      <t xml:space="preserve">Waste </t>
    </r>
    <r>
      <rPr>
        <i/>
        <sz val="14"/>
        <color theme="1" tint="0.249977111117893"/>
        <rFont val="Franklin Gothic Book"/>
        <family val="2"/>
      </rPr>
      <t>hotspot fitness</t>
    </r>
  </si>
  <si>
    <r>
      <t xml:space="preserve">Physical presence </t>
    </r>
    <r>
      <rPr>
        <i/>
        <sz val="14"/>
        <color theme="1" tint="0.249977111117893"/>
        <rFont val="Franklin Gothic Book"/>
        <family val="2"/>
      </rPr>
      <t>hotspot fitness</t>
    </r>
  </si>
  <si>
    <r>
      <t xml:space="preserve">People </t>
    </r>
    <r>
      <rPr>
        <i/>
        <sz val="14"/>
        <color theme="1" tint="0.249977111117893"/>
        <rFont val="Franklin Gothic Book"/>
        <family val="2"/>
      </rPr>
      <t>hotspot fitness</t>
    </r>
  </si>
  <si>
    <r>
      <t xml:space="preserve">Drivers </t>
    </r>
    <r>
      <rPr>
        <i/>
        <sz val="14"/>
        <color theme="1" tint="0.249977111117893"/>
        <rFont val="Franklin Gothic Book"/>
        <family val="2"/>
      </rPr>
      <t>hotspot fitness</t>
    </r>
  </si>
  <si>
    <t>Examples: Suppliers generate other non-GHG harmful emissions into air, land and water, including gaseous toxins and air pollutants (e.g. VOCs, NOx); ozone-depleting substances; substances that build up in nature; scarce metals (e.g. cadmium and lead); untreated or insufficiently treated wastewater; and/or harmful chemicals (e.g. fertilizer run-off, harmful pesticides.)</t>
  </si>
  <si>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company </t>
    </r>
    <r>
      <rPr>
        <b/>
        <i/>
        <sz val="12"/>
        <color theme="7" tint="-0.249977111117893"/>
        <rFont val="Franklin Gothic Book"/>
        <family val="2"/>
      </rPr>
      <t>operations</t>
    </r>
  </si>
  <si>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company </t>
    </r>
    <r>
      <rPr>
        <b/>
        <i/>
        <sz val="12"/>
        <color theme="7" tint="-0.249977111117893"/>
        <rFont val="Franklin Gothic Book"/>
        <family val="2"/>
      </rPr>
      <t xml:space="preserve">inputs </t>
    </r>
  </si>
  <si>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t>
    </r>
    <r>
      <rPr>
        <b/>
        <i/>
        <sz val="12"/>
        <color theme="7" tint="-0.249977111117893"/>
        <rFont val="Franklin Gothic Book"/>
        <family val="2"/>
      </rPr>
      <t xml:space="preserve">product usage </t>
    </r>
    <r>
      <rPr>
        <b/>
        <sz val="12"/>
        <color theme="7" tint="-0.249977111117893"/>
        <rFont val="Franklin Gothic Book"/>
        <family val="2"/>
      </rPr>
      <t xml:space="preserve">and </t>
    </r>
    <r>
      <rPr>
        <b/>
        <i/>
        <sz val="12"/>
        <color theme="7" tint="-0.249977111117893"/>
        <rFont val="Franklin Gothic Book"/>
        <family val="2"/>
      </rPr>
      <t>end-of-life disposition.</t>
    </r>
  </si>
  <si>
    <r>
      <t xml:space="preserve">Break-even goals related to impacts on </t>
    </r>
    <r>
      <rPr>
        <b/>
        <i/>
        <sz val="12"/>
        <color theme="7" tint="-0.249977111117893"/>
        <rFont val="Franklin Gothic Book"/>
        <family val="2"/>
      </rPr>
      <t>employees / workers</t>
    </r>
  </si>
  <si>
    <t>Operations GHG emissions</t>
  </si>
  <si>
    <t>Product GHG emissions</t>
  </si>
  <si>
    <t>Natural Resources</t>
  </si>
  <si>
    <t xml:space="preserve">Operations waste </t>
  </si>
  <si>
    <t>Product repurposing</t>
  </si>
  <si>
    <t>Product concerns process</t>
  </si>
  <si>
    <t>Taxes paid</t>
  </si>
  <si>
    <r>
      <t xml:space="preserve">The assessment of a project’s positive results is organized around four levels, in increasing order of significance: </t>
    </r>
    <r>
      <rPr>
        <b/>
        <sz val="11"/>
        <color theme="1" tint="0.249977111117893"/>
        <rFont val="Franklin Gothic Book"/>
        <family val="2"/>
      </rPr>
      <t xml:space="preserve">input, output, outcome and impact. </t>
    </r>
    <r>
      <rPr>
        <sz val="11"/>
        <color theme="1" tint="0.249977111117893"/>
        <rFont val="Franklin Gothic Book"/>
        <family val="2"/>
      </rPr>
      <t>A company can choose which of the four levels of assessment (or a combination thereof) to report on for any given project, depending on its characteristics and progress.</t>
    </r>
  </si>
  <si>
    <r>
      <t xml:space="preserve">Company performance on 24 Do-Some-Good / Positive Pursuits </t>
    </r>
    <r>
      <rPr>
        <sz val="12"/>
        <color theme="0"/>
        <rFont val="Franklin Gothic Book"/>
        <family val="2"/>
      </rPr>
      <t/>
    </r>
  </si>
  <si>
    <t>Positive Pursuit</t>
  </si>
  <si>
    <t>Scale</t>
  </si>
  <si>
    <t>Depth</t>
  </si>
  <si>
    <t>Duration</t>
  </si>
  <si>
    <t>Significance</t>
  </si>
  <si>
    <t>Location</t>
  </si>
  <si>
    <t xml:space="preserve">Trade-offs </t>
  </si>
  <si>
    <t>Comments (free form)</t>
  </si>
  <si>
    <r>
      <t xml:space="preserve">PP01: Others depend less on non-renewable </t>
    </r>
    <r>
      <rPr>
        <b/>
        <sz val="12"/>
        <color theme="1" tint="0.249977111117893"/>
        <rFont val="Franklin Gothic Book"/>
        <family val="2"/>
      </rPr>
      <t>energy</t>
    </r>
  </si>
  <si>
    <t>Impact summary statement</t>
  </si>
  <si>
    <r>
      <t xml:space="preserve">PP02: More people have access to </t>
    </r>
    <r>
      <rPr>
        <b/>
        <sz val="12"/>
        <color theme="1" tint="0.249977111117893"/>
        <rFont val="Franklin Gothic Book"/>
        <family val="2"/>
      </rPr>
      <t>energy</t>
    </r>
  </si>
  <si>
    <r>
      <t xml:space="preserve">PP03: Others contribute less to </t>
    </r>
    <r>
      <rPr>
        <b/>
        <sz val="12"/>
        <color theme="1" tint="0.249977111117893"/>
        <rFont val="Franklin Gothic Book"/>
        <family val="2"/>
      </rPr>
      <t xml:space="preserve">water </t>
    </r>
    <r>
      <rPr>
        <sz val="12"/>
        <color theme="1" tint="0.249977111117893"/>
        <rFont val="Franklin Gothic Book"/>
        <family val="2"/>
      </rPr>
      <t>stress</t>
    </r>
  </si>
  <si>
    <r>
      <t xml:space="preserve">PP04: More people have access to clean </t>
    </r>
    <r>
      <rPr>
        <b/>
        <sz val="12"/>
        <color theme="1" tint="0.249977111117893"/>
        <rFont val="Franklin Gothic Book"/>
        <family val="2"/>
      </rPr>
      <t>water</t>
    </r>
  </si>
  <si>
    <r>
      <t xml:space="preserve">PP05: Others depend less on inadequately-managed </t>
    </r>
    <r>
      <rPr>
        <b/>
        <sz val="12"/>
        <color theme="1" tint="0.249977111117893"/>
        <rFont val="Franklin Gothic Book"/>
        <family val="2"/>
      </rPr>
      <t>natural resources</t>
    </r>
  </si>
  <si>
    <r>
      <t xml:space="preserve">PP06: Others generate fewer </t>
    </r>
    <r>
      <rPr>
        <b/>
        <sz val="12"/>
        <color theme="1" tint="0.249977111117893"/>
        <rFont val="Franklin Gothic Book"/>
        <family val="2"/>
      </rPr>
      <t xml:space="preserve">greenhouse gas </t>
    </r>
    <r>
      <rPr>
        <sz val="12"/>
        <color theme="1" tint="0.249977111117893"/>
        <rFont val="Franklin Gothic Book"/>
        <family val="2"/>
      </rPr>
      <t>emissions</t>
    </r>
  </si>
  <si>
    <r>
      <t xml:space="preserve">PP07: </t>
    </r>
    <r>
      <rPr>
        <b/>
        <sz val="12"/>
        <color theme="1" tint="0.249977111117893"/>
        <rFont val="Franklin Gothic Book"/>
        <family val="2"/>
      </rPr>
      <t>Greenhouse gases</t>
    </r>
    <r>
      <rPr>
        <sz val="12"/>
        <color theme="1" tint="0.249977111117893"/>
        <rFont val="Franklin Gothic Book"/>
        <family val="2"/>
      </rPr>
      <t xml:space="preserve"> are removed from the atmosphere</t>
    </r>
  </si>
  <si>
    <r>
      <t xml:space="preserve">PP08: Others generate fewer </t>
    </r>
    <r>
      <rPr>
        <b/>
        <sz val="12"/>
        <color theme="1" tint="0.249977111117893"/>
        <rFont val="Franklin Gothic Book"/>
        <family val="2"/>
      </rPr>
      <t>harmful emissions</t>
    </r>
  </si>
  <si>
    <r>
      <t xml:space="preserve">PP09: </t>
    </r>
    <r>
      <rPr>
        <b/>
        <sz val="12"/>
        <color theme="1" tint="0.249977111117893"/>
        <rFont val="Franklin Gothic Book"/>
        <family val="2"/>
      </rPr>
      <t xml:space="preserve">Harmful emissions </t>
    </r>
    <r>
      <rPr>
        <sz val="12"/>
        <color theme="1" tint="0.249977111117893"/>
        <rFont val="Franklin Gothic Book"/>
        <family val="2"/>
      </rPr>
      <t>are removed from the environment</t>
    </r>
  </si>
  <si>
    <r>
      <t xml:space="preserve">PP10: Others generate less </t>
    </r>
    <r>
      <rPr>
        <b/>
        <sz val="12"/>
        <color theme="1" tint="0.249977111117893"/>
        <rFont val="Franklin Gothic Book"/>
        <family val="2"/>
      </rPr>
      <t>waste</t>
    </r>
  </si>
  <si>
    <r>
      <t xml:space="preserve">PP11: </t>
    </r>
    <r>
      <rPr>
        <b/>
        <sz val="12"/>
        <color theme="1" tint="0.249977111117893"/>
        <rFont val="Franklin Gothic Book"/>
        <family val="2"/>
      </rPr>
      <t xml:space="preserve">Waste </t>
    </r>
    <r>
      <rPr>
        <sz val="12"/>
        <color theme="1" tint="0.249977111117893"/>
        <rFont val="Franklin Gothic Book"/>
        <family val="2"/>
      </rPr>
      <t>is reclaimed and repurposed</t>
    </r>
  </si>
  <si>
    <r>
      <t xml:space="preserve">PP12: Others cause less </t>
    </r>
    <r>
      <rPr>
        <b/>
        <sz val="12"/>
        <color theme="1" tint="0.249977111117893"/>
        <rFont val="Franklin Gothic Book"/>
        <family val="2"/>
      </rPr>
      <t>ecosystem</t>
    </r>
    <r>
      <rPr>
        <sz val="12"/>
        <color theme="1" tint="0.249977111117893"/>
        <rFont val="Franklin Gothic Book"/>
        <family val="2"/>
      </rPr>
      <t xml:space="preserve"> degradation</t>
    </r>
  </si>
  <si>
    <r>
      <t xml:space="preserve">PP13: </t>
    </r>
    <r>
      <rPr>
        <b/>
        <sz val="12"/>
        <color theme="1" tint="0.249977111117893"/>
        <rFont val="Franklin Gothic Book"/>
        <family val="2"/>
      </rPr>
      <t xml:space="preserve">Ecosystems </t>
    </r>
    <r>
      <rPr>
        <sz val="12"/>
        <color theme="1" tint="0.249977111117893"/>
        <rFont val="Franklin Gothic Book"/>
        <family val="2"/>
      </rPr>
      <t>are restored</t>
    </r>
  </si>
  <si>
    <r>
      <t xml:space="preserve">PP14: Others cause less damage to </t>
    </r>
    <r>
      <rPr>
        <b/>
        <sz val="12"/>
        <color theme="1" tint="0.249977111117893"/>
        <rFont val="Franklin Gothic Book"/>
        <family val="2"/>
      </rPr>
      <t>areas of high social or cultural value</t>
    </r>
  </si>
  <si>
    <r>
      <t xml:space="preserve">PP15: </t>
    </r>
    <r>
      <rPr>
        <b/>
        <sz val="12"/>
        <color theme="1" tint="0.249977111117893"/>
        <rFont val="Franklin Gothic Book"/>
        <family val="2"/>
      </rPr>
      <t>Areas of high social or cultural value</t>
    </r>
    <r>
      <rPr>
        <sz val="12"/>
        <color theme="1" tint="0.249977111117893"/>
        <rFont val="Franklin Gothic Book"/>
        <family val="2"/>
      </rPr>
      <t xml:space="preserve"> are restored</t>
    </r>
  </si>
  <si>
    <r>
      <t xml:space="preserve">PP16 More people are </t>
    </r>
    <r>
      <rPr>
        <b/>
        <sz val="12"/>
        <color theme="1" tint="0.249977111117893"/>
        <rFont val="Franklin Gothic Book"/>
        <family val="2"/>
      </rPr>
      <t>healthy and safe</t>
    </r>
    <r>
      <rPr>
        <sz val="12"/>
        <color theme="1" tint="0.249977111117893"/>
        <rFont val="Franklin Gothic Book"/>
        <family val="2"/>
      </rPr>
      <t xml:space="preserve"> from harm</t>
    </r>
  </si>
  <si>
    <r>
      <t xml:space="preserve">PP17 People’s </t>
    </r>
    <r>
      <rPr>
        <b/>
        <sz val="12"/>
        <color theme="1" tint="0.249977111117893"/>
        <rFont val="Franklin Gothic Book"/>
        <family val="2"/>
      </rPr>
      <t>capabilities</t>
    </r>
    <r>
      <rPr>
        <sz val="12"/>
        <color theme="1" tint="0.249977111117893"/>
        <rFont val="Franklin Gothic Book"/>
        <family val="2"/>
      </rPr>
      <t xml:space="preserve"> are strengthened</t>
    </r>
  </si>
  <si>
    <t>Free education program for smallholder farmers to raise crop yields vs. a projected decline in yields because of climate change.</t>
  </si>
  <si>
    <t>Intended outcome and verified impact</t>
  </si>
  <si>
    <t>60 farmers took the training; 40 applied it. Now the government and an NGO are looking at a similar nationwide program</t>
  </si>
  <si>
    <t xml:space="preserve">Yields of the 40 farmers who applied the training
improved by 30% </t>
  </si>
  <si>
    <t>Permanent for the 40 farmers who changed their practices</t>
  </si>
  <si>
    <t>Met significant need; increased farmer income and resilience in the face of climate change</t>
  </si>
  <si>
    <t>Local to production plant</t>
  </si>
  <si>
    <t>None</t>
  </si>
  <si>
    <t>All estimates have been confirmed by the local NGO.</t>
  </si>
  <si>
    <r>
      <t xml:space="preserve">PP18 More people have access to </t>
    </r>
    <r>
      <rPr>
        <b/>
        <sz val="12"/>
        <color theme="1" tint="0.249977111117893"/>
        <rFont val="Franklin Gothic Book"/>
        <family val="2"/>
      </rPr>
      <t>economic opportunity</t>
    </r>
  </si>
  <si>
    <r>
      <t xml:space="preserve">PP19 </t>
    </r>
    <r>
      <rPr>
        <b/>
        <sz val="12"/>
        <color theme="1" tint="0.249977111117893"/>
        <rFont val="Franklin Gothic Book"/>
        <family val="2"/>
      </rPr>
      <t xml:space="preserve">Individual freedoms </t>
    </r>
    <r>
      <rPr>
        <sz val="12"/>
        <color theme="1" tint="0.249977111117893"/>
        <rFont val="Franklin Gothic Book"/>
        <family val="2"/>
      </rPr>
      <t>are upheld for more people</t>
    </r>
  </si>
  <si>
    <r>
      <t xml:space="preserve">PP20 </t>
    </r>
    <r>
      <rPr>
        <b/>
        <sz val="12"/>
        <color theme="1" tint="0.249977111117893"/>
        <rFont val="Franklin Gothic Book"/>
        <family val="2"/>
      </rPr>
      <t>Social cohesion</t>
    </r>
    <r>
      <rPr>
        <sz val="12"/>
        <color theme="1" tint="0.249977111117893"/>
        <rFont val="Franklin Gothic Book"/>
        <family val="2"/>
      </rPr>
      <t xml:space="preserve"> is strengthened</t>
    </r>
  </si>
  <si>
    <r>
      <t xml:space="preserve">PP21 </t>
    </r>
    <r>
      <rPr>
        <b/>
        <sz val="12"/>
        <color theme="1" tint="0.249977111117893"/>
        <rFont val="Franklin Gothic Book"/>
        <family val="2"/>
      </rPr>
      <t>Infrastructure</t>
    </r>
    <r>
      <rPr>
        <sz val="12"/>
        <color theme="1" tint="0.249977111117893"/>
        <rFont val="Franklin Gothic Book"/>
        <family val="2"/>
      </rPr>
      <t xml:space="preserve"> is strengthened in pursuit of future-fitness</t>
    </r>
  </si>
  <si>
    <r>
      <t xml:space="preserve">PP22 </t>
    </r>
    <r>
      <rPr>
        <b/>
        <sz val="12"/>
        <color theme="1" tint="0.249977111117893"/>
        <rFont val="Franklin Gothic Book"/>
        <family val="2"/>
      </rPr>
      <t>Governance</t>
    </r>
    <r>
      <rPr>
        <sz val="12"/>
        <color theme="1" tint="0.249977111117893"/>
        <rFont val="Franklin Gothic Book"/>
        <family val="2"/>
      </rPr>
      <t xml:space="preserve"> is strengthened in pursuit of future-fitness</t>
    </r>
  </si>
  <si>
    <r>
      <t xml:space="preserve">PP23 </t>
    </r>
    <r>
      <rPr>
        <b/>
        <sz val="12"/>
        <color theme="1" tint="0.249977111117893"/>
        <rFont val="Franklin Gothic Book"/>
        <family val="2"/>
      </rPr>
      <t>Market mechanisms</t>
    </r>
    <r>
      <rPr>
        <sz val="12"/>
        <color theme="1" tint="0.249977111117893"/>
        <rFont val="Franklin Gothic Book"/>
        <family val="2"/>
      </rPr>
      <t xml:space="preserve"> are strengthened in pursuit of future-fitness</t>
    </r>
  </si>
  <si>
    <r>
      <t xml:space="preserve">PP24 </t>
    </r>
    <r>
      <rPr>
        <b/>
        <sz val="12"/>
        <color theme="1" tint="0.249977111117893"/>
        <rFont val="Franklin Gothic Book"/>
        <family val="2"/>
      </rPr>
      <t xml:space="preserve">Social norms </t>
    </r>
    <r>
      <rPr>
        <sz val="12"/>
        <color theme="1" tint="0.249977111117893"/>
        <rFont val="Franklin Gothic Book"/>
        <family val="2"/>
      </rPr>
      <t>increasingly support the pursuit of future-fitness</t>
    </r>
  </si>
  <si>
    <r>
      <rPr>
        <b/>
        <sz val="18"/>
        <color theme="0"/>
        <rFont val="Franklin Gothic Book"/>
        <family val="2"/>
      </rPr>
      <t xml:space="preserve">Assessment of Performance on Positive Pursuits </t>
    </r>
    <r>
      <rPr>
        <b/>
        <sz val="16"/>
        <color theme="0"/>
        <rFont val="Franklin Gothic Book"/>
        <family val="2"/>
      </rPr>
      <t xml:space="preserve">
</t>
    </r>
    <r>
      <rPr>
        <sz val="12"/>
        <color theme="0"/>
        <rFont val="Franklin Gothic Book"/>
        <family val="2"/>
      </rPr>
      <t xml:space="preserve">that every company </t>
    </r>
    <r>
      <rPr>
        <b/>
        <i/>
        <sz val="12"/>
        <color theme="0"/>
        <rFont val="Franklin Gothic Book"/>
        <family val="2"/>
      </rPr>
      <t>may</t>
    </r>
    <r>
      <rPr>
        <sz val="12"/>
        <color theme="0"/>
        <rFont val="Franklin Gothic Book"/>
        <family val="2"/>
      </rPr>
      <t xml:space="preserve"> pursue, in order to restore nature and improve the well-being of people.</t>
    </r>
  </si>
  <si>
    <r>
      <t>This worksheet assesses a company's progress on the Future-Fit Business Benchmark (FFBB) 24 optional Do-Some-Good / Positive Pursuits. The Positive Pursuits are described in detail in the Positive Pursuit Action Guide</t>
    </r>
    <r>
      <rPr>
        <i/>
        <sz val="11"/>
        <color theme="1" tint="0.249977111117893"/>
        <rFont val="Franklin Gothic Book"/>
        <family val="2"/>
      </rPr>
      <t xml:space="preserve">. </t>
    </r>
    <r>
      <rPr>
        <sz val="11"/>
        <color theme="1" tint="0.249977111117893"/>
        <rFont val="Franklin Gothic Book"/>
        <family val="2"/>
      </rPr>
      <t>U</t>
    </r>
    <r>
      <rPr>
        <i/>
        <sz val="11"/>
        <color theme="1" tint="0.249977111117893"/>
        <rFont val="Franklin Gothic Book"/>
        <family val="2"/>
      </rPr>
      <t xml:space="preserve">se it as a reference document </t>
    </r>
    <r>
      <rPr>
        <sz val="11"/>
        <color theme="1" tint="0.249977111117893"/>
        <rFont val="Franklin Gothic Book"/>
        <family val="2"/>
      </rPr>
      <t>while completing this worksheet, to clarify terminology and context.</t>
    </r>
  </si>
  <si>
    <t xml:space="preserve">* Any company may have none or just a few Positive Pursuits. Rows for unused Positive Pursuits can be left in as blank reminders of areas that the company may want to pursue later. 
* If multiple projects or products are used to generate a particular positive result, add additional lines for them above the summary statement. 
* If a single project accomplishes multiple types of positive pursuits, create separate entries for each. 
* Use comments to describe evidence used to verify the impacts, or to reference a more detailed write-up for the project.
* Any starting descriptors in yellow cells are just examples to illustrate the concepts / factors to include in the write-up. Overwrite them with information about the company product, program or project. </t>
  </si>
  <si>
    <r>
      <t xml:space="preserve">FFBB Positive Pursuits related to impacts on the </t>
    </r>
    <r>
      <rPr>
        <b/>
        <i/>
        <sz val="12"/>
        <color theme="1" tint="0.249977111117893"/>
        <rFont val="Franklin Gothic Book"/>
        <family val="2"/>
      </rPr>
      <t xml:space="preserve">environment </t>
    </r>
    <r>
      <rPr>
        <b/>
        <sz val="12"/>
        <color theme="1" tint="0.249977111117893"/>
        <rFont val="Franklin Gothic Book"/>
        <family val="2"/>
      </rPr>
      <t xml:space="preserve">from company </t>
    </r>
    <r>
      <rPr>
        <b/>
        <i/>
        <sz val="12"/>
        <color theme="1" tint="0.249977111117893"/>
        <rFont val="Franklin Gothic Book"/>
        <family val="2"/>
      </rPr>
      <t xml:space="preserve">inputs </t>
    </r>
  </si>
  <si>
    <t>FFBB Positive Pursuits related to impacts on the environment from company operations</t>
  </si>
  <si>
    <t xml:space="preserve">Break-Even Scores </t>
  </si>
  <si>
    <t>This worksheet maps sustainability scores from the "Break-Even Scores" worksheet to their most closely-related SDGs to generate scores on the SDGs. That is, it uses the "Break-Even Scores" on business-relevant sustainability indicators as proxies for company scores on associated SDGs. It also accommodates summary statements about Positive Pursuits related to SDGs.</t>
  </si>
  <si>
    <t>Positive Pursuits</t>
  </si>
  <si>
    <t xml:space="preserve">Positive Pursuit </t>
  </si>
  <si>
    <t>PP17 People’s capabilities are strengthened</t>
  </si>
  <si>
    <t>Related SDGs</t>
  </si>
  <si>
    <t>SDGs 1,2 and 3</t>
  </si>
  <si>
    <t>Provided free education for 60 smallholder farmers. It led to increased annual yields of 30% for the 40 farmers that applied the training. They plan to continue using the new techniques. Their income is protected despite predictions by a local NGO of a 15% lower crop yield because of climate change. The company and the government are engaging an NGO to deliver similar training programs to vulnerable farmers across the country.</t>
  </si>
  <si>
    <t>Copy impact summary statements from the Positive Pursuits worksheet to the fields below. Add additional lines to this section, if required.</t>
  </si>
  <si>
    <t>Related Capital</t>
  </si>
  <si>
    <t>Social capital</t>
  </si>
  <si>
    <t>User Guidance</t>
  </si>
  <si>
    <r>
      <t>The Sustainability Accounting Standards Board (SASB) Materiality Map</t>
    </r>
    <r>
      <rPr>
        <vertAlign val="superscript"/>
        <sz val="12"/>
        <color theme="1" tint="0.249977111117893"/>
        <rFont val="Franklin Gothic Book"/>
        <family val="2"/>
      </rPr>
      <t>®</t>
    </r>
    <r>
      <rPr>
        <sz val="12"/>
        <color theme="1" tint="0.249977111117893"/>
        <rFont val="Franklin Gothic Book"/>
        <family val="2"/>
      </rPr>
      <t xml:space="preserve"> may be helpful. It identifies sustainability issues that are of most interest to investors in the company's sector. The company may also prioritize sustainability issues that are important to other stakeholders, including to Mother Nature (the environment) and Future Generations (society).</t>
    </r>
  </si>
  <si>
    <r>
      <t xml:space="preserve">Four key concepts / dimensions / factors – </t>
    </r>
    <r>
      <rPr>
        <b/>
        <sz val="11"/>
        <color rgb="FF404040"/>
        <rFont val="Franklin Gothic Book"/>
        <family val="2"/>
      </rPr>
      <t xml:space="preserve">scale, depth, duration and significance </t>
    </r>
    <r>
      <rPr>
        <sz val="11"/>
        <color rgb="FF404040"/>
        <rFont val="Franklin Gothic Book"/>
        <family val="2"/>
      </rPr>
      <t>– frame the extent of a project’s impacts, whether intended or realized. Assess each positive pursuit against the four concepts / dimensions / factors by considering what would have happened in the absence of the company’s intervention.</t>
    </r>
  </si>
  <si>
    <t>Capitals Scores</t>
  </si>
  <si>
    <t xml:space="preserve">This is long-overdue and is an employee diversity priority. </t>
  </si>
  <si>
    <t>If cities and communities are not sustainable and resilient, neither are we.</t>
  </si>
  <si>
    <t xml:space="preserve">A sustainable company imbeds sustainability-related issues and considerations into its governance practices. “Sustainability-related" issues may also be known as “ESG" (environmental, social and governance) issues or “E&amp;S" (environmental and social) issues or "CSR" (corporate social responsibility) issues. Good governance / oversight ensures that the company is considering all stakeholders ‒ communities / society, customers, employees and the environment ‒ when making decisions.  </t>
  </si>
  <si>
    <r>
      <t>*</t>
    </r>
    <r>
      <rPr>
        <b/>
        <sz val="11"/>
        <color theme="1" tint="0.249977111117893"/>
        <rFont val="Franklin Gothic Book"/>
        <family val="2"/>
      </rPr>
      <t xml:space="preserve"> Company purpose / vision / mission: 
     </t>
    </r>
    <r>
      <rPr>
        <sz val="11"/>
        <color theme="1" tint="0.249977111117893"/>
        <rFont val="Franklin Gothic Book"/>
        <family val="2"/>
      </rPr>
      <t xml:space="preserve">Our </t>
    </r>
    <r>
      <rPr>
        <i/>
        <sz val="11"/>
        <color theme="1" tint="0.249977111117893"/>
        <rFont val="Franklin Gothic Book"/>
        <family val="2"/>
      </rPr>
      <t>purpose</t>
    </r>
    <r>
      <rPr>
        <sz val="11"/>
        <color theme="1" tint="0.249977111117893"/>
        <rFont val="Franklin Gothic Book"/>
        <family val="2"/>
      </rPr>
      <t xml:space="preserve"> is to maximize stakeholder wellbeing. 
      Our </t>
    </r>
    <r>
      <rPr>
        <i/>
        <sz val="11"/>
        <color theme="1" tint="0.249977111117893"/>
        <rFont val="Franklin Gothic Book"/>
        <family val="2"/>
      </rPr>
      <t xml:space="preserve">vision </t>
    </r>
    <r>
      <rPr>
        <sz val="11"/>
        <color theme="1" tint="0.249977111117893"/>
        <rFont val="Franklin Gothic Book"/>
        <family val="2"/>
      </rPr>
      <t xml:space="preserve">is a socially just, economically inclusive and environmentally restorative society.
      Our </t>
    </r>
    <r>
      <rPr>
        <i/>
        <sz val="11"/>
        <color theme="1" tint="0.249977111117893"/>
        <rFont val="Franklin Gothic Book"/>
        <family val="2"/>
      </rPr>
      <t xml:space="preserve">mission </t>
    </r>
    <r>
      <rPr>
        <sz val="11"/>
        <color theme="1" tint="0.249977111117893"/>
        <rFont val="Franklin Gothic Book"/>
        <family val="2"/>
      </rPr>
      <t xml:space="preserve">is to provide products, services and initiatives that enable all our stakeholders to thrive. </t>
    </r>
  </si>
  <si>
    <r>
      <t xml:space="preserve">* </t>
    </r>
    <r>
      <rPr>
        <b/>
        <sz val="11"/>
        <color theme="1" tint="0.249977111117893"/>
        <rFont val="Franklin Gothic Book"/>
        <family val="2"/>
      </rPr>
      <t xml:space="preserve">Stakeholder engagement: </t>
    </r>
    <r>
      <rPr>
        <sz val="11"/>
        <color theme="1" tint="0.249977111117893"/>
        <rFont val="Franklin Gothic Book"/>
        <family val="2"/>
      </rPr>
      <t>Stakeholder engagement helps the company capture ESG-related opportunities and avoid ESG-related risks.</t>
    </r>
  </si>
  <si>
    <r>
      <t xml:space="preserve">* </t>
    </r>
    <r>
      <rPr>
        <b/>
        <sz val="11"/>
        <color theme="1" tint="0.249977111117893"/>
        <rFont val="Franklin Gothic Book"/>
        <family val="2"/>
      </rPr>
      <t>Strategic planning:</t>
    </r>
    <r>
      <rPr>
        <sz val="11"/>
        <color theme="1" tint="0.249977111117893"/>
        <rFont val="Franklin Gothic Book"/>
        <family val="2"/>
      </rPr>
      <t xml:space="preserve"> It includes consideration of sustainability-related risks and opportunities in its scenario planning processes.</t>
    </r>
  </si>
  <si>
    <r>
      <t xml:space="preserve">* </t>
    </r>
    <r>
      <rPr>
        <b/>
        <sz val="11"/>
        <color theme="1" tint="0.249977111117893"/>
        <rFont val="Franklin Gothic Book"/>
        <family val="2"/>
      </rPr>
      <t xml:space="preserve">Risk management process: </t>
    </r>
    <r>
      <rPr>
        <sz val="11"/>
        <color theme="1" tint="0.249977111117893"/>
        <rFont val="Franklin Gothic Book"/>
        <family val="2"/>
      </rPr>
      <t>It includes consideration of direct and indirect risks that could arise if sustainability-related issues are not addressed.</t>
    </r>
  </si>
  <si>
    <r>
      <t xml:space="preserve">* </t>
    </r>
    <r>
      <rPr>
        <b/>
        <sz val="11"/>
        <color theme="1" tint="0.249977111117893"/>
        <rFont val="Franklin Gothic Book"/>
        <family val="2"/>
      </rPr>
      <t>Disclosures / reports:</t>
    </r>
    <r>
      <rPr>
        <sz val="11"/>
        <color theme="1" tint="0.249977111117893"/>
        <rFont val="Franklin Gothic Book"/>
        <family val="2"/>
      </rPr>
      <t xml:space="preserve">  They include non-financial performance on sustainability issues, and are assured by qualified third parties.</t>
    </r>
  </si>
  <si>
    <r>
      <t>*</t>
    </r>
    <r>
      <rPr>
        <b/>
        <sz val="11"/>
        <color theme="1" tint="0.249977111117893"/>
        <rFont val="Franklin Gothic Book"/>
        <family val="2"/>
      </rPr>
      <t xml:space="preserve"> Major decision-making processes: </t>
    </r>
    <r>
      <rPr>
        <sz val="11"/>
        <color theme="1" tint="0.249977111117893"/>
        <rFont val="Franklin Gothic Book"/>
        <family val="2"/>
      </rPr>
      <t xml:space="preserve"> OpEx, CapEx, M&amp;A and other strategic decisions include sustainability-related appraisal criteria.</t>
    </r>
  </si>
  <si>
    <r>
      <t>*</t>
    </r>
    <r>
      <rPr>
        <b/>
        <sz val="11"/>
        <color theme="1" tint="0.249977111117893"/>
        <rFont val="Franklin Gothic Book"/>
        <family val="2"/>
      </rPr>
      <t xml:space="preserve"> Research and development (R&amp;D):</t>
    </r>
    <r>
      <rPr>
        <sz val="11"/>
        <color theme="1" tint="0.249977111117893"/>
        <rFont val="Franklin Gothic Book"/>
        <family val="2"/>
      </rPr>
      <t xml:space="preserve"> It includes a search for innovative enablers of company or stakeholder progress on sustainability-related issues.</t>
    </r>
  </si>
  <si>
    <r>
      <t xml:space="preserve">* </t>
    </r>
    <r>
      <rPr>
        <b/>
        <sz val="11"/>
        <color theme="1" tint="0.249977111117893"/>
        <rFont val="Franklin Gothic Book"/>
        <family val="2"/>
      </rPr>
      <t xml:space="preserve">Board and executive competency maps: </t>
    </r>
    <r>
      <rPr>
        <sz val="11"/>
        <color theme="1" tint="0.249977111117893"/>
        <rFont val="Franklin Gothic Book"/>
        <family val="2"/>
      </rPr>
      <t>They include sustainability-related competencies required for effective oversight.</t>
    </r>
  </si>
  <si>
    <r>
      <t xml:space="preserve">* </t>
    </r>
    <r>
      <rPr>
        <b/>
        <sz val="11"/>
        <color theme="1" tint="0.249977111117893"/>
        <rFont val="Franklin Gothic Book"/>
        <family val="2"/>
      </rPr>
      <t xml:space="preserve">Executive compensation: </t>
    </r>
    <r>
      <rPr>
        <sz val="11"/>
        <color theme="1" tint="0.249977111117893"/>
        <rFont val="Franklin Gothic Book"/>
        <family val="2"/>
      </rPr>
      <t>A significant amount of executive remuneration is conditional on attainment of sustainability-related targets.</t>
    </r>
  </si>
  <si>
    <r>
      <t xml:space="preserve">Business Model
</t>
    </r>
    <r>
      <rPr>
        <sz val="11"/>
        <color theme="1" tint="0.249977111117893"/>
        <rFont val="Franklin Gothic Book"/>
        <family val="2"/>
      </rPr>
      <t>A business model is a visual representation / graphic / canvas of what the company does to generate enough revenue to fulfill its purpose. An example is used as the centerpiece graphic in the figures on the Intro page. Another variation is included in the Business Model and Dashboard Templates tool available at the adjacent link.
The attributes of a sustainable, 21st century business model are listed below. Check all that your business model satisfies.</t>
    </r>
  </si>
  <si>
    <t>Business Model and Dashboard Templates</t>
  </si>
  <si>
    <r>
      <rPr>
        <i/>
        <sz val="11"/>
        <color theme="1" tint="0.249977111117893"/>
        <rFont val="Franklin Gothic Book"/>
        <family val="2"/>
      </rPr>
      <t>Shows traditional flows:</t>
    </r>
    <r>
      <rPr>
        <sz val="11"/>
        <color theme="1" tint="0.249977111117893"/>
        <rFont val="Franklin Gothic Book"/>
        <family val="2"/>
      </rPr>
      <t xml:space="preserve"> It shows the overall input‒process‒output flow between the environment, suppliers, the business, customers and society. </t>
    </r>
  </si>
  <si>
    <r>
      <rPr>
        <i/>
        <sz val="11"/>
        <color theme="1" tint="0.249977111117893"/>
        <rFont val="Franklin Gothic Book"/>
        <family val="2"/>
      </rPr>
      <t xml:space="preserve">Shows the nested interdependencies: </t>
    </r>
    <r>
      <rPr>
        <sz val="11"/>
        <color theme="1" tint="0.249977111117893"/>
        <rFont val="Franklin Gothic Book"/>
        <family val="2"/>
      </rPr>
      <t>It makes visible that the company is nested in society, which is nested in the environment on a finite planet.</t>
    </r>
  </si>
  <si>
    <r>
      <rPr>
        <i/>
        <sz val="11"/>
        <color theme="1" tint="0.249977111117893"/>
        <rFont val="Franklin Gothic Book"/>
        <family val="2"/>
      </rPr>
      <t>Shows stakeholder impact points:</t>
    </r>
    <r>
      <rPr>
        <sz val="11"/>
        <color theme="1" tint="0.249977111117893"/>
        <rFont val="Franklin Gothic Book"/>
        <family val="2"/>
      </rPr>
      <t xml:space="preserve"> It makes visible where the business impacts stakeholders, including the environment and society, to facilitate tracking, managing and reporting of non-financial performance / stakeholder impacts. </t>
    </r>
  </si>
  <si>
    <r>
      <rPr>
        <i/>
        <sz val="11"/>
        <color theme="1" tint="0.249977111117893"/>
        <rFont val="Franklin Gothic Book"/>
        <family val="2"/>
      </rPr>
      <t>Shows how the company creates value:</t>
    </r>
    <r>
      <rPr>
        <sz val="11"/>
        <color theme="1" tint="0.249977111117893"/>
        <rFont val="Franklin Gothic Book"/>
        <family val="2"/>
      </rPr>
      <t xml:space="preserve"> It provides context for how the company delivers value to stakeholders, while not undermining their wellbeing. </t>
    </r>
  </si>
  <si>
    <r>
      <rPr>
        <i/>
        <sz val="11"/>
        <color theme="1" tint="0.249977111117893"/>
        <rFont val="Franklin Gothic Book"/>
        <family val="2"/>
      </rPr>
      <t xml:space="preserve">Can accommodate new risks: </t>
    </r>
    <r>
      <rPr>
        <sz val="11"/>
        <color theme="1" tint="0.249977111117893"/>
        <rFont val="Franklin Gothic Book"/>
        <family val="2"/>
      </rPr>
      <t>If desired, it can show new 21st century environmental and social risks that the company may need to mitigate and include in its risk management process.</t>
    </r>
  </si>
  <si>
    <r>
      <rPr>
        <i/>
        <sz val="11"/>
        <color theme="1" tint="0.249977111117893"/>
        <rFont val="Franklin Gothic Book"/>
        <family val="2"/>
      </rPr>
      <t>Can accommodate reputation, savings and income flows:</t>
    </r>
    <r>
      <rPr>
        <sz val="11"/>
        <color theme="1" tint="0.249977111117893"/>
        <rFont val="Franklin Gothic Book"/>
        <family val="2"/>
      </rPr>
      <t xml:space="preserve"> If desired, it can show sources of value that flow back into the business.</t>
    </r>
  </si>
  <si>
    <t>Score</t>
  </si>
  <si>
    <r>
      <t xml:space="preserve">Break-even goals related to impacts on </t>
    </r>
    <r>
      <rPr>
        <b/>
        <i/>
        <sz val="12"/>
        <color theme="7" tint="-0.249977111117893"/>
        <rFont val="Franklin Gothic Book"/>
        <family val="2"/>
      </rPr>
      <t>communities</t>
    </r>
  </si>
  <si>
    <r>
      <t xml:space="preserve">Natural Capital
</t>
    </r>
    <r>
      <rPr>
        <sz val="10"/>
        <color theme="1" tint="0.249977111117893"/>
        <rFont val="Franklin Gothic Book"/>
        <family val="2"/>
      </rPr>
      <t>impacted by inputs</t>
    </r>
  </si>
  <si>
    <r>
      <t xml:space="preserve">Natural Capital
</t>
    </r>
    <r>
      <rPr>
        <sz val="10"/>
        <color theme="1" tint="0.249977111117893"/>
        <rFont val="Franklin Gothic Book"/>
        <family val="2"/>
      </rPr>
      <t>Impacted by operations and products</t>
    </r>
  </si>
  <si>
    <t>Scores on each capital this reporting period</t>
  </si>
  <si>
    <r>
      <t>*</t>
    </r>
    <r>
      <rPr>
        <b/>
        <sz val="11"/>
        <color theme="1" tint="0.249977111117893"/>
        <rFont val="Franklin Gothic Book"/>
        <family val="2"/>
      </rPr>
      <t xml:space="preserve"> Director and executive responsibilities and duties:</t>
    </r>
    <r>
      <rPr>
        <sz val="11"/>
        <color theme="1" tint="0.249977111117893"/>
        <rFont val="Franklin Gothic Book"/>
        <family val="2"/>
      </rPr>
      <t xml:space="preserve"> Responsibility for sustainability-related issues is included in committee mandates.</t>
    </r>
  </si>
  <si>
    <r>
      <t xml:space="preserve">Name 
</t>
    </r>
    <r>
      <rPr>
        <sz val="11"/>
        <color theme="0"/>
        <rFont val="Franklin Gothic Book"/>
        <family val="2"/>
      </rPr>
      <t>of Product, Project or Program</t>
    </r>
  </si>
  <si>
    <r>
      <t xml:space="preserve">Level
 </t>
    </r>
    <r>
      <rPr>
        <sz val="11"/>
        <color theme="0"/>
        <rFont val="Franklin Gothic Book"/>
        <family val="2"/>
      </rPr>
      <t>(Input, Output, Outcome, Impact)</t>
    </r>
  </si>
  <si>
    <r>
      <rPr>
        <b/>
        <sz val="11"/>
        <color theme="1" tint="0.249977111117893"/>
        <rFont val="Franklin Gothic Book"/>
        <family val="2"/>
      </rPr>
      <t xml:space="preserve">* Click the + sign to the extreme left of the row number beside each goal to unhide / reveal its groups of calculation rows. Click the ‒ sign to hide / collapse them again. </t>
    </r>
    <r>
      <rPr>
        <sz val="11"/>
        <color theme="1" tint="0.249977111117893"/>
        <rFont val="Franklin Gothic Book"/>
        <family val="2"/>
      </rPr>
      <t xml:space="preserve">
* Starting values / text in yellow cells are just examples to illustrate how the formulas work. Overwrite sample yellow values with real company data or with other selections from drop-down menus.
* Some light purple cells are auto-populated from the Company Info worksheet. If more locations or products were added to the Company Info worksheet, ensure that corresponding parts of the
    FFBB Break-Even Goals that use that information have been appropriately adjusted to accommodate the additional line items. See the Company Info worksheet for how to add those additional rows.
* Other light purple cells have numerical values that are auto-calculated based on values in their associated cells. Any user entries in these cells will overwrite their formulas.
* Choose units and a currency that are appropriate for your situation and adjust descriptors accordingly.</t>
    </r>
  </si>
  <si>
    <t>Climate change is the number one issue for our investors, the economy and society. The SASB Materiality Map includes this area for our industry.</t>
  </si>
  <si>
    <t>This worksheet assesses a company's progress on the 23 Future-Fit Business Benchmark (FFBB) science-based, necessary, cause-no-harm / Break-Even (BE) goals, on a consistent fitness scale of 0-100%. Use the FFBB Methodology Guide, Implementation Guide and Action Guides as reference documents while working with the BE goals in this worksheet, to clarify calculation formulas, terminology, and context.</t>
  </si>
  <si>
    <r>
      <t xml:space="preserve">Summary of company performance on Break-Even Goals, </t>
    </r>
    <r>
      <rPr>
        <b/>
        <sz val="14"/>
        <color theme="0"/>
        <rFont val="Franklin Gothic Book"/>
        <family val="2"/>
      </rPr>
      <t xml:space="preserve">
</t>
    </r>
    <r>
      <rPr>
        <sz val="12"/>
        <color theme="0"/>
        <rFont val="Franklin Gothic Book"/>
        <family val="2"/>
      </rPr>
      <t>organized around company business model flows as shown in the figure on the Intro worksheet. The detailed calculations are in the collapsed groups of rows below.</t>
    </r>
  </si>
  <si>
    <r>
      <t xml:space="preserve">If you are interested in how these scores can be integrated into a </t>
    </r>
    <r>
      <rPr>
        <b/>
        <sz val="12"/>
        <color theme="1" tint="0.249977111117893"/>
        <rFont val="Franklin Gothic Book"/>
        <family val="2"/>
      </rPr>
      <t>dashboard</t>
    </r>
    <r>
      <rPr>
        <sz val="12"/>
        <color theme="1" tint="0.249977111117893"/>
        <rFont val="Franklin Gothic Book"/>
        <family val="2"/>
      </rPr>
      <t xml:space="preserve"> that provides a decision-ready overview of company financial and non-financial performance, these free, open-source Business Model and Dashboard Templates may be helpful: </t>
    </r>
  </si>
  <si>
    <t>FFBB Methodology Guide, Implementation Guide and Action Guides</t>
  </si>
  <si>
    <t>FFBB Positive Pursuit Action Guide</t>
  </si>
  <si>
    <r>
      <rPr>
        <b/>
        <sz val="11"/>
        <color theme="1"/>
        <rFont val="Franklin Gothic Book"/>
        <family val="2"/>
      </rPr>
      <t xml:space="preserve">Consolidated company information worksheets: </t>
    </r>
    <r>
      <rPr>
        <sz val="11"/>
        <color theme="1"/>
        <rFont val="Franklin Gothic Book"/>
        <family val="2"/>
      </rPr>
      <t>The</t>
    </r>
    <r>
      <rPr>
        <i/>
        <sz val="11"/>
        <color theme="1"/>
        <rFont val="Franklin Gothic Book"/>
        <family val="2"/>
      </rPr>
      <t xml:space="preserve"> "</t>
    </r>
    <r>
      <rPr>
        <sz val="11"/>
        <color theme="1"/>
        <rFont val="Franklin Gothic Book"/>
        <family val="2"/>
      </rPr>
      <t xml:space="preserve">Company Info" worksheet in this Toolkit provides information that is captured in separate Site Information, Employee Information and Product Information worksheets in the Calculators. Also, the sample data in the Calculators builds on the example of the lemonade company that is used to illustrate the formulas in the Action Guides. The sample data in this Toolkit is for a different kind of company.  </t>
    </r>
  </si>
  <si>
    <r>
      <rPr>
        <b/>
        <sz val="11"/>
        <color theme="1"/>
        <rFont val="Franklin Gothic Book"/>
        <family val="2"/>
      </rPr>
      <t xml:space="preserve">Positive Pursuits template: </t>
    </r>
    <r>
      <rPr>
        <sz val="11"/>
        <color theme="1"/>
        <rFont val="Franklin Gothic Book"/>
        <family val="2"/>
      </rPr>
      <t>The "FFBB Positive Pursuits" worksheet in this Toolkit provides a template for succinct, quantified descriptions of a company’s Positive Pursuits. The Calculators does not include a Positive Pursuits template, yet.</t>
    </r>
  </si>
  <si>
    <t>FFBB Methodology Guide, Implementation Guide, Positive Pursuit Guide and break-even goals Action Guides.</t>
  </si>
  <si>
    <r>
      <t xml:space="preserve">In the 21st century, we aspire to a society that is more socially just, economically inclusive, and environmentally restorative -- a society that is fit for the future. Companies enable the transition to a future-fit, sustainable, resilient society by creating financial, environmental, and social value while in no way undermining ― and ideally increasing ― the possibility that humans and other life will flourish on Earth forever. The </t>
    </r>
    <r>
      <rPr>
        <b/>
        <sz val="11"/>
        <color theme="1" tint="0.249977111117893"/>
        <rFont val="Franklin Gothic Book"/>
        <family val="2"/>
      </rPr>
      <t>Future-Fit Business Benchmark (FFBB)</t>
    </r>
    <r>
      <rPr>
        <sz val="11"/>
        <color theme="1" tint="0.249977111117893"/>
        <rFont val="Franklin Gothic Book"/>
        <family val="2"/>
      </rPr>
      <t xml:space="preserve"> provides science-based goals for a business that aspires to that business model, so that both the company and society are fit for the future in the 21st century. This toolkit is based on the FFBB.</t>
    </r>
  </si>
  <si>
    <r>
      <rPr>
        <b/>
        <sz val="11"/>
        <color theme="1"/>
        <rFont val="Franklin Gothic Book"/>
        <family val="2"/>
      </rPr>
      <t xml:space="preserve">Starter set of five line items: </t>
    </r>
    <r>
      <rPr>
        <sz val="11"/>
        <color theme="1"/>
        <rFont val="Franklin Gothic Book"/>
        <family val="2"/>
      </rPr>
      <t>The formulas in the Calculators allow for up to 100+ products, employee groups or company sites, which is why there is a separate Calculator worksheet for each BExx goal. This Toolkit starts with five (5) of each, with the capability for users to add more, if necessary. Of course, another option for companies that have more products, employee groups or company sites is to use the FFBB Calculators instead of this Toolkit.</t>
    </r>
  </si>
  <si>
    <r>
      <rPr>
        <b/>
        <sz val="11"/>
        <color theme="1"/>
        <rFont val="Franklin Gothic Book"/>
        <family val="2"/>
      </rPr>
      <t xml:space="preserve">No conditional formatting: </t>
    </r>
    <r>
      <rPr>
        <sz val="11"/>
        <color theme="1"/>
        <rFont val="Franklin Gothic Book"/>
        <family val="2"/>
      </rPr>
      <t xml:space="preserve">To avoid any potential confusion arising from examples used in the workbook, no conditional formatting is used in this Toolkit. </t>
    </r>
  </si>
  <si>
    <t xml:space="preserve">Copy impact summary statements from the Positive Pursuits worksheet to the fields below. Add additional lines to this section, if required. In the &lt;IR&gt; report, note these positive contribution to the value of the capitals </t>
  </si>
  <si>
    <r>
      <rPr>
        <b/>
        <sz val="11"/>
        <color theme="1"/>
        <rFont val="Franklin Gothic Book"/>
        <family val="2"/>
      </rPr>
      <t xml:space="preserve">Governance: </t>
    </r>
    <r>
      <rPr>
        <sz val="11"/>
        <color theme="1"/>
        <rFont val="Franklin Gothic Book"/>
        <family val="2"/>
      </rPr>
      <t>This toolkit assesses company governance against 10 ESG governance best practices and five criteria for sustainable business models. The Calculators do not assess governance explicitly.</t>
    </r>
  </si>
  <si>
    <r>
      <t xml:space="preserve">The FFBB has two parts.
* 23 Cause-No-Harm / Break-Even (BE) goals that every company </t>
    </r>
    <r>
      <rPr>
        <i/>
        <sz val="11"/>
        <color theme="1" tint="0.249977111117893"/>
        <rFont val="Franklin Gothic Book"/>
        <family val="2"/>
      </rPr>
      <t>must</t>
    </r>
    <r>
      <rPr>
        <sz val="11"/>
        <color theme="1" tint="0.249977111117893"/>
        <rFont val="Franklin Gothic Book"/>
        <family val="2"/>
      </rPr>
      <t xml:space="preserve"> meet. The "</t>
    </r>
    <r>
      <rPr>
        <b/>
        <sz val="11"/>
        <color theme="1" tint="0.249977111117893"/>
        <rFont val="Franklin Gothic Book"/>
        <family val="2"/>
      </rPr>
      <t xml:space="preserve">Break-Even Goals" </t>
    </r>
    <r>
      <rPr>
        <sz val="11"/>
        <color theme="1" tint="0.249977111117893"/>
        <rFont val="Franklin Gothic Book"/>
        <family val="2"/>
      </rPr>
      <t xml:space="preserve">worksheet calculates scores on those goals.
* 24 Do-Some-Good / Positive Pursuits that any company </t>
    </r>
    <r>
      <rPr>
        <i/>
        <sz val="11"/>
        <color theme="1" tint="0.249977111117893"/>
        <rFont val="Franklin Gothic Book"/>
        <family val="2"/>
      </rPr>
      <t>may</t>
    </r>
    <r>
      <rPr>
        <sz val="11"/>
        <color theme="1" tint="0.249977111117893"/>
        <rFont val="Franklin Gothic Book"/>
        <family val="2"/>
      </rPr>
      <t xml:space="preserve"> choose to pursue.  The "</t>
    </r>
    <r>
      <rPr>
        <b/>
        <sz val="11"/>
        <color theme="1" tint="0.249977111117893"/>
        <rFont val="Franklin Gothic Book"/>
        <family val="2"/>
      </rPr>
      <t>Positive Pursuits</t>
    </r>
    <r>
      <rPr>
        <sz val="11"/>
        <color theme="1" tint="0.249977111117893"/>
        <rFont val="Franklin Gothic Book"/>
        <family val="2"/>
      </rPr>
      <t>" worksheet captures impacts of those efforts.</t>
    </r>
  </si>
  <si>
    <r>
      <t xml:space="preserve">
</t>
    </r>
    <r>
      <rPr>
        <b/>
        <sz val="11"/>
        <color theme="1" tint="0.249977111117893"/>
        <rFont val="Franklin Gothic Book"/>
        <family val="2"/>
      </rPr>
      <t>"SDGs Scores" tool</t>
    </r>
    <r>
      <rPr>
        <sz val="11"/>
        <color theme="1" tint="0.249977111117893"/>
        <rFont val="Franklin Gothic Book"/>
        <family val="2"/>
      </rPr>
      <t xml:space="preserve">
The 17 Sustainable Development Goals (SDGs), also known as the Global Goals and Agenda 2030, are a universal call to action to end poverty, protect the planet and ensure that all people enjoy peace and prosperity by 2030. There are 169 targets and 230 indicators associated with the 17 SDGs. However, the goals, targets and indicators are better suited to governments -- federal, provincial / state and municipal -- than to companies. 
We assess company performance on all ESG issues and on all SDGs. They are all covered. So we can confidently divide the SDGs into three environmental, social and employee groups which conveniently correspond to the three main groups of sustainability issues, knowing that the company will get credit for all its direct and indirect contributions to the SDGs. The "SDG Scores" worksheet maps ESG scores to their most directly-related SDGs, to generate scores on the SDGs. That is, it uses the "Break-Even Scores" on business-relevant sustainability indicators as proxies for company scores on the most directly-impacted SDGs and allows for inclusion of any "Positive Pursuits."+C47</t>
    </r>
  </si>
  <si>
    <r>
      <rPr>
        <b/>
        <sz val="11"/>
        <color theme="1"/>
        <rFont val="Franklin Gothic Book"/>
        <family val="2"/>
      </rPr>
      <t xml:space="preserve">Consolidated calculation worksheets: </t>
    </r>
    <r>
      <rPr>
        <sz val="11"/>
        <color theme="1"/>
        <rFont val="Franklin Gothic Book"/>
        <family val="2"/>
      </rPr>
      <t xml:space="preserve">The Calculators are in three separate workbooks: Main, Procurement and Financial Assets. This Toolkit consolidates the 21 worksheets in the Main calculator, the 9 worksheets in the Procurement calculator and the 9 worksheets in the Financial Assets calculator – 39 worksheets in all – into one comprehensive (humungous?) "FFBB Break-Even Goals" worksheet. Plus, the top of that worksheet provides an equivalent of the Fitness Summary worksheet in the Main Calculator. Thank goodness for Excel's group hide / unhide capability.  😊   </t>
    </r>
  </si>
  <si>
    <r>
      <t>The FFBB is described in detail in its Methodology Guide, Implementation Guide, Positive Pursuit Guide and Break-Even goals' Action Guides. Use them as reference documents while completing this workbook, to clarify calculation formulas, terminology, and context for the Break-Even goals and Positive Pursuits. This workbook builds on formulas and calculation methodologies used in Future-Fit Progress Calculators created by the Future-Fit Foundation.</t>
    </r>
    <r>
      <rPr>
        <vertAlign val="superscript"/>
        <sz val="11"/>
        <color theme="1" tint="0.249977111117893"/>
        <rFont val="Franklin Gothic Book"/>
        <family val="2"/>
      </rPr>
      <t>1</t>
    </r>
    <r>
      <rPr>
        <sz val="11"/>
        <color theme="1" tint="0.249977111117893"/>
        <rFont val="Franklin Gothic Book"/>
        <family val="2"/>
      </rPr>
      <t xml:space="preserve"> </t>
    </r>
  </si>
  <si>
    <r>
      <t xml:space="preserve">This toolkit is based on the Future-Fit Progress Calculator - </t>
    </r>
    <r>
      <rPr>
        <b/>
        <sz val="9"/>
        <color theme="1"/>
        <rFont val="Franklin Gothic Book"/>
        <family val="2"/>
      </rPr>
      <t>Main</t>
    </r>
    <r>
      <rPr>
        <sz val="9"/>
        <color theme="1"/>
        <rFont val="Franklin Gothic Book"/>
        <family val="2"/>
      </rPr>
      <t xml:space="preserve"> - R2.1.4, the Future-Fit Progress Calculator - </t>
    </r>
    <r>
      <rPr>
        <b/>
        <sz val="9"/>
        <color theme="1"/>
        <rFont val="Franklin Gothic Book"/>
        <family val="2"/>
      </rPr>
      <t>Financial Assets</t>
    </r>
    <r>
      <rPr>
        <sz val="9"/>
        <color theme="1"/>
        <rFont val="Franklin Gothic Book"/>
        <family val="2"/>
      </rPr>
      <t xml:space="preserve"> - R2.1.4 and the Future-Fit Progress Calculator - </t>
    </r>
    <r>
      <rPr>
        <b/>
        <sz val="9"/>
        <color theme="1"/>
        <rFont val="Franklin Gothic Book"/>
        <family val="2"/>
      </rPr>
      <t>Procurement</t>
    </r>
    <r>
      <rPr>
        <sz val="9"/>
        <color theme="1"/>
        <rFont val="Franklin Gothic Book"/>
        <family val="2"/>
      </rPr>
      <t xml:space="preserve"> - R2.1.4 available at the Future-Fit Business download page at https://futurefitbusiness.org/resources/. To make it as easy as possible for users to use and build on the calculators, they are published under a Creative Commons-Attribution Sharealike 4.0 International license. This means that users are free to Share (copy and redistribute the material in any medium or format) and Adapt (remix, transform, and build upon) the material for any purpose, even commercially.  The same license applies to this toolkit. </t>
    </r>
  </si>
  <si>
    <t>Comparison of Sustainability Frameworks</t>
  </si>
  <si>
    <r>
      <rPr>
        <b/>
        <sz val="11"/>
        <color theme="1" tint="0.249977111117893"/>
        <rFont val="Franklin Gothic Book"/>
        <family val="2"/>
      </rPr>
      <t xml:space="preserve">  
ESG Scores tool: "Break-Even Scores" and "Positive Pursuits"</t>
    </r>
    <r>
      <rPr>
        <sz val="11"/>
        <color theme="1" tint="0.249977111117893"/>
        <rFont val="Franklin Gothic Book"/>
        <family val="2"/>
      </rPr>
      <t xml:space="preserve">
"ESG" (environmental, social, governance) is used as a shorthand synonym for "sustainability." The ESG scores worksheets assess company "Positive Pursuits" ‒ and negative "Break-Even" ‒ impacts on the environment, employee and communities / society. 
The adjacent figure shows where these sustainability issues arise in a typical company's business model. The centerpiece business model graphic shows the company nested in society, which is nested in the environment, and shows flows between those two nests and the company. The figure identifies the 23 environmental, employee and community / societal issues that arise from the company's impacts on its stakeholders at various touch points.
Use this tool to self-assess company scores on all core sustainability issues and on governance. Users can then choose which to disclose or report to stakeholders. </t>
    </r>
  </si>
  <si>
    <r>
      <t xml:space="preserve">
</t>
    </r>
    <r>
      <rPr>
        <b/>
        <sz val="11"/>
        <color theme="1" tint="0.249977111117893"/>
        <rFont val="Franklin Gothic Book"/>
        <family val="2"/>
      </rPr>
      <t>"SDGs Scores" tool</t>
    </r>
    <r>
      <rPr>
        <sz val="11"/>
        <color theme="1" tint="0.249977111117893"/>
        <rFont val="Franklin Gothic Book"/>
        <family val="2"/>
      </rPr>
      <t xml:space="preserve">
The 17 Sustainable Development Goals (SDGs), also known as the Global Goals and Agenda 2030, are a universal call to action to end poverty, protect the planet and ensure that all people enjoy peace and prosperity by 2030. There are 169 targets and 230 indicators associated with the 17 SDGs. However, the goals, targets and indicators are better suited to governments -- federal, provincial / state and municipal -- than to companies. 
We assess company performance on all ESG issues and on all SDGs. They are all covered. So we can confidently divide the SDGs into three environmental, social and employee groups, which conveniently correspond to the three main groups of sustainability issues, knowing that the company will get credit for all its direct and indirect contributions to the SDGs. The "SDG Scores" worksheet maps ESG scores (see above) to their most directly-related SDGs within each group, to generate scores on the SDGs. That is, it uses the "Break-Even Scores" on business-relevant sustainability indicators as proxies for company scores on the most directly-impacted SDGs and allows for inclusion of any "Positive Pursuits."</t>
    </r>
  </si>
  <si>
    <r>
      <t xml:space="preserve">
"</t>
    </r>
    <r>
      <rPr>
        <b/>
        <sz val="11"/>
        <color theme="1" tint="0.249977111117893"/>
        <rFont val="Franklin Gothic Book"/>
        <family val="2"/>
      </rPr>
      <t xml:space="preserve">Capitals Scores" tool
</t>
    </r>
    <r>
      <rPr>
        <sz val="11"/>
        <color theme="1" tint="0.249977111117893"/>
        <rFont val="Franklin Gothic Book"/>
        <family val="2"/>
      </rPr>
      <t>Integrated Reporting &lt;IR&gt; encourages a company to assess how it impacted six capitals over the reporting period: natural, human, social, financial, manufactured and intellectual capitals. It is relatively straightforward to assess and monetize financial, manufactured and intellectual capitals to determine how much value the company added to, or subtracted from, each. However, assessing a company's impact on natural, human and social capitals has been more challenging ... until now.
The "Capital Scores" worksheet maps ESG scores to their most closely-related natural, human and social capitals to generate scores on the three non-financial capitals. That is, it uses the "Break-Even Scores" on business-relevant sustainability indicators as proxies for how close the company is to not devaluing / doing harm to the three capitals, and includes "Positive Pursuits" that add value to those capitals.</t>
    </r>
  </si>
  <si>
    <t>Footnotes</t>
  </si>
  <si>
    <t>FFBB Positive Pursuits related to impacts on communities and society</t>
  </si>
  <si>
    <t xml:space="preserve">This worksheet maps sustainability scores from the "Break-Even Scores" worksheet to their most closely-related capitals, to generate overall scores on the capitals. That is, it uses the "Break-Even Scores" on business-relevant sustainability indicators as proxies for company progress on not devaluing natural, human and social capitals during the reporting period. Compare scores from this reporting period with scores from previous reporting periods to reveal trend lines.
This approach avoids the challenge of how to absolutely measure and quantify these three non-financial capitals. Instead, it measures how close the company is to where it needs to be -- that is, how close it is to not devaluing / doing harm to the three capitals. This is analogous to measuring how close the level of water in a hydro dam reservoir is to the minimum level required for power generation. It is not necessary to know the absolute volume of water in the reservoir in gallons or litres. We can use depth in feet or meters as a proxy for volume and just measure how close the depth is to the minimum level. Anything above that minimum level (i.e. &gt;100%) indicates that the company is being regenerative and positively impacting those capitals. </t>
  </si>
  <si>
    <r>
      <rPr>
        <b/>
        <sz val="12"/>
        <color theme="1" tint="0.249977111117893"/>
        <rFont val="Franklin Gothic Book"/>
        <family val="2"/>
      </rPr>
      <t>Intended users</t>
    </r>
    <r>
      <rPr>
        <sz val="11"/>
        <color theme="1" tint="0.249977111117893"/>
        <rFont val="Franklin Gothic Book"/>
        <family val="2"/>
      </rPr>
      <t xml:space="preserve">
This tool is intended for use by large, multi-location, multi-national corporations with sustainability professionals on staff. The "Quick vs Advanced Sustainability Assessment Tools" worksheet compares the approach used in this toolkit with the approach used in "Quick Sustainability Assessment Tool" which is intended for use by small- and medium-sized enterprises (SMEs) and large companies with minimal / no sustainability staff. Both toolkits assess core sustainability / ESG (environmental, social, governance) issues, but use different assessment approaches. </t>
    </r>
  </si>
  <si>
    <t>Comparison of Quick vs Advanced Sustainability Assessment Tools</t>
  </si>
  <si>
    <r>
      <rPr>
        <b/>
        <sz val="12"/>
        <color theme="1" tint="0.249977111117893"/>
        <rFont val="Franklin Gothic Book"/>
        <family val="2"/>
      </rPr>
      <t>Overview</t>
    </r>
    <r>
      <rPr>
        <sz val="11"/>
        <color theme="1" tint="0.249977111117893"/>
        <rFont val="Franklin Gothic Book"/>
        <family val="2"/>
      </rPr>
      <t xml:space="preserve">
This toolkit is the "Rosetta Stone" for the hieroglyphics of various sustainability frameworks and assessment tools. First, it assesses company performance on core sustainability issues, as identified by a comparison</t>
    </r>
    <r>
      <rPr>
        <vertAlign val="superscript"/>
        <sz val="11"/>
        <color theme="1" tint="0.249977111117893"/>
        <rFont val="Franklin Gothic Book"/>
        <family val="2"/>
      </rPr>
      <t>2</t>
    </r>
    <r>
      <rPr>
        <sz val="11"/>
        <color theme="1" tint="0.249977111117893"/>
        <rFont val="Franklin Gothic Book"/>
        <family val="2"/>
      </rPr>
      <t xml:space="preserve"> of a dozen sustainability planning, assessment, reporting and ranking frameworks. Then, it maps those ESG scores to related Sustainable Development Goals (SDGs) and Integrated Reporting (IR) capitals. So, it contains three sustainability assessment tools. 
     1. A 2-part generic ESG assessment tool composed of "Break-Even Scores" and "Positive Pursuits" worksheets 
     2. An "SDGs Scores" tool ... maps the ESG Scores to related SDGs
     3. A "Capitals Scores" tool ... maps the ESG Scores to related non-financial capitals
This is the super-set of advanced sustainability assessment tools. Users can choose whichever parts align best with their company's preferred sustainability framework, weight or tailor its factors to suit their purposes and include any elements from the Quick Sustainability Assessment Tool, or other assessment tools, that might be helpful. For example, if company stakeholders are more interested in company performance on core ESG issues rather than framing than performance as company contributions to the SDGs or company impacts on non-financial capitals, they can delete those worksheets.</t>
    </r>
  </si>
  <si>
    <t>The significant differences between this Toolkit and the Calculators are:</t>
  </si>
  <si>
    <r>
      <t>This Toolkit is based on Future-Fit Progress Calculators ("</t>
    </r>
    <r>
      <rPr>
        <b/>
        <sz val="11"/>
        <color theme="1"/>
        <rFont val="Franklin Gothic Book"/>
        <family val="2"/>
      </rPr>
      <t>Calculators</t>
    </r>
    <r>
      <rPr>
        <sz val="11"/>
        <color theme="1"/>
        <rFont val="Franklin Gothic Book"/>
        <family val="2"/>
      </rPr>
      <t>") created by the Future-Fit Foundation.</t>
    </r>
  </si>
  <si>
    <t>The Future-Fit Progress Calculator is at the bottom of this FFBB Resources webpage</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</si>
  <si>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</si>
  <si>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</si>
  <si>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Advanced Sustainability Assessment Tool (ASAT)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</si>
</sst>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
    <numFmt numFmtId="167" formatCode="_-&quot;$&quot;* #,##0_-;\-&quot;$&quot;* #,##0_-;_-&quot;$&quot;* &quot;-&quot;??_-;_-@_-"/>
  </numFmts>
  <fonts count="88" x14ac:knownFonts="1">
    <font>
      <sz val="11"/>
      <color theme="1"/>
      <name val="Calibri"/>
      <family val="2"/>
      <scheme val="minor"/>
    </font>
    <font>
      <sz val="12"/>
      <color theme="1"/>
      <name val="Calibri"/>
      <family val="2"/>
      <scheme val="minor"/>
    </font>
    <font>
      <sz val="11"/>
      <color theme="1"/>
      <name val="Franklin Gothic Book"/>
      <family val="2"/>
    </font>
    <font>
      <b/>
      <sz val="11"/>
      <color theme="1"/>
      <name val="Franklin Gothic Book"/>
      <family val="2"/>
    </font>
    <font>
      <sz val="12"/>
      <color theme="1"/>
      <name val="Franklin Gothic Book"/>
      <family val="2"/>
    </font>
    <font>
      <sz val="10"/>
      <color theme="1"/>
      <name val="Franklin Gothic Book"/>
      <family val="2"/>
    </font>
    <font>
      <b/>
      <sz val="16"/>
      <color theme="0"/>
      <name val="Franklin Gothic Book"/>
      <family val="2"/>
    </font>
    <font>
      <sz val="11"/>
      <color theme="0"/>
      <name val="Franklin Gothic Book"/>
      <family val="2"/>
    </font>
    <font>
      <b/>
      <sz val="14"/>
      <color theme="1"/>
      <name val="Franklin Gothic Book"/>
      <family val="2"/>
    </font>
    <font>
      <sz val="11"/>
      <color theme="1"/>
      <name val="Calibri"/>
      <family val="2"/>
      <scheme val="minor"/>
    </font>
    <font>
      <u/>
      <sz val="11"/>
      <color theme="10"/>
      <name val="Calibri"/>
      <family val="2"/>
      <scheme val="minor"/>
    </font>
    <font>
      <b/>
      <sz val="18"/>
      <color theme="0"/>
      <name val="Franklin Gothic Book"/>
      <family val="2"/>
    </font>
    <font>
      <sz val="11"/>
      <color theme="1" tint="0.249977111117893"/>
      <name val="Franklin Gothic Book"/>
      <family val="2"/>
    </font>
    <font>
      <i/>
      <sz val="11"/>
      <color theme="1" tint="0.249977111117893"/>
      <name val="Franklin Gothic Book"/>
      <family val="2"/>
    </font>
    <font>
      <u/>
      <sz val="12"/>
      <color theme="10"/>
      <name val="Calibri"/>
      <family val="2"/>
      <scheme val="minor"/>
    </font>
    <font>
      <b/>
      <sz val="14"/>
      <color theme="0"/>
      <name val="Franklin Gothic Book"/>
      <family val="2"/>
    </font>
    <font>
      <u/>
      <sz val="12"/>
      <color theme="10"/>
      <name val="Franklin Gothic Book"/>
      <family val="2"/>
    </font>
    <font>
      <sz val="12"/>
      <color theme="1" tint="0.249977111117893"/>
      <name val="Franklin Gothic Book"/>
      <family val="2"/>
    </font>
    <font>
      <b/>
      <sz val="12"/>
      <color theme="0"/>
      <name val="Franklin Gothic Book"/>
      <family val="2"/>
    </font>
    <font>
      <b/>
      <sz val="12"/>
      <color theme="1"/>
      <name val="Franklin Gothic Book"/>
      <family val="2"/>
    </font>
    <font>
      <b/>
      <sz val="12"/>
      <color rgb="FF000000"/>
      <name val="Franklin Gothic Book"/>
      <family val="2"/>
    </font>
    <font>
      <b/>
      <sz val="11"/>
      <color theme="1" tint="0.249977111117893"/>
      <name val="Franklin Gothic Book"/>
      <family val="2"/>
    </font>
    <font>
      <b/>
      <i/>
      <sz val="11"/>
      <color theme="1" tint="0.249977111117893"/>
      <name val="Franklin Gothic Book"/>
      <family val="2"/>
    </font>
    <font>
      <u/>
      <sz val="12"/>
      <color theme="1"/>
      <name val="Franklin Gothic Book"/>
      <family val="2"/>
    </font>
    <font>
      <i/>
      <sz val="12"/>
      <color theme="1" tint="0.249977111117893"/>
      <name val="Franklin Gothic Book"/>
      <family val="2"/>
    </font>
    <font>
      <b/>
      <sz val="14"/>
      <color theme="1" tint="0.249977111117893"/>
      <name val="Franklin Gothic Book"/>
      <family val="2"/>
    </font>
    <font>
      <sz val="11"/>
      <name val="Franklin Gothic Book"/>
      <family val="2"/>
    </font>
    <font>
      <b/>
      <sz val="18"/>
      <color theme="1" tint="0.249977111117893"/>
      <name val="Franklin Gothic Book"/>
      <family val="2"/>
    </font>
    <font>
      <i/>
      <sz val="11"/>
      <color theme="1"/>
      <name val="Franklin Gothic Book"/>
      <family val="2"/>
    </font>
    <font>
      <vertAlign val="superscript"/>
      <sz val="11"/>
      <color theme="1"/>
      <name val="Franklin Gothic Book"/>
      <family val="2"/>
    </font>
    <font>
      <sz val="14"/>
      <color theme="1"/>
      <name val="Franklin Gothic Book"/>
      <family val="2"/>
    </font>
    <font>
      <sz val="16.5"/>
      <color rgb="FF4C4C4C"/>
      <name val="Georgia"/>
      <family val="1"/>
    </font>
    <font>
      <sz val="8"/>
      <color rgb="FF4C4C4C"/>
      <name val="Arial"/>
      <family val="2"/>
    </font>
    <font>
      <b/>
      <sz val="11"/>
      <name val="Franklin Gothic Book"/>
      <family val="2"/>
    </font>
    <font>
      <b/>
      <sz val="10"/>
      <color theme="1" tint="0.249977111117893"/>
      <name val="Franklin Gothic Book"/>
      <family val="2"/>
    </font>
    <font>
      <sz val="11"/>
      <color rgb="FF4C4C4C"/>
      <name val="Franklin Gothic Book"/>
      <family val="2"/>
    </font>
    <font>
      <b/>
      <sz val="12"/>
      <color theme="1" tint="0.249977111117893"/>
      <name val="Franklin Gothic Book"/>
      <family val="2"/>
    </font>
    <font>
      <sz val="10"/>
      <color theme="0"/>
      <name val="Franklin Gothic Book"/>
      <family val="2"/>
    </font>
    <font>
      <sz val="10"/>
      <color theme="1" tint="0.249977111117893"/>
      <name val="Franklin Gothic Book"/>
      <family val="2"/>
    </font>
    <font>
      <sz val="9"/>
      <color theme="1" tint="0.249977111117893"/>
      <name val="Franklin Gothic Book"/>
      <family val="2"/>
    </font>
    <font>
      <sz val="12"/>
      <color theme="7" tint="-0.249977111117893"/>
      <name val="Franklin Gothic Book"/>
      <family val="2"/>
    </font>
    <font>
      <sz val="11"/>
      <color theme="1" tint="0.249977111117893"/>
      <name val="Calibri"/>
      <family val="2"/>
      <scheme val="minor"/>
    </font>
    <font>
      <i/>
      <sz val="11"/>
      <color indexed="81"/>
      <name val="Tahoma"/>
      <family val="2"/>
    </font>
    <font>
      <sz val="11"/>
      <color indexed="81"/>
      <name val="Tahoma"/>
      <family val="2"/>
    </font>
    <font>
      <sz val="14"/>
      <color theme="1" tint="0.249977111117893"/>
      <name val="Franklin Gothic Book"/>
      <family val="2"/>
    </font>
    <font>
      <vertAlign val="superscript"/>
      <sz val="12"/>
      <color theme="1" tint="0.249977111117893"/>
      <name val="Franklin Gothic Book"/>
      <family val="2"/>
    </font>
    <font>
      <u/>
      <sz val="12"/>
      <color theme="1" tint="0.249977111117893"/>
      <name val="Franklin Gothic Book"/>
      <family val="2"/>
    </font>
    <font>
      <b/>
      <i/>
      <u/>
      <sz val="11"/>
      <color theme="1" tint="0.249977111117893"/>
      <name val="Franklin Gothic Book"/>
      <family val="2"/>
    </font>
    <font>
      <b/>
      <u/>
      <sz val="11"/>
      <color theme="1" tint="0.249977111117893"/>
      <name val="Franklin Gothic Book"/>
      <family val="2"/>
    </font>
    <font>
      <sz val="10"/>
      <color rgb="FF000000"/>
      <name val="Arial"/>
      <family val="2"/>
    </font>
    <font>
      <sz val="11"/>
      <color theme="2" tint="-0.749992370372631"/>
      <name val="Franklin Gothic Book"/>
      <family val="2"/>
    </font>
    <font>
      <i/>
      <sz val="10"/>
      <color theme="1" tint="0.249977111117893"/>
      <name val="Franklin Gothic Book"/>
      <family val="2"/>
    </font>
    <font>
      <u/>
      <sz val="11"/>
      <color theme="10"/>
      <name val="Franklin Gothic Book"/>
      <family val="2"/>
    </font>
    <font>
      <sz val="14"/>
      <name val="Franklin Gothic Book"/>
      <family val="2"/>
    </font>
    <font>
      <sz val="10"/>
      <name val="Franklin Gothic Book"/>
      <family val="2"/>
    </font>
    <font>
      <b/>
      <sz val="14"/>
      <name val="Franklin Gothic Book"/>
      <family val="2"/>
    </font>
    <font>
      <b/>
      <sz val="11"/>
      <color rgb="FF000000"/>
      <name val="Franklin Gothic Book"/>
      <family val="2"/>
    </font>
    <font>
      <b/>
      <sz val="10"/>
      <name val="Franklin Gothic Book"/>
      <family val="2"/>
    </font>
    <font>
      <sz val="11"/>
      <color rgb="FF000000"/>
      <name val="Franklin Gothic Book"/>
      <family val="2"/>
    </font>
    <font>
      <sz val="12"/>
      <name val="Franklin Gothic Book"/>
      <family val="2"/>
    </font>
    <font>
      <b/>
      <i/>
      <sz val="10"/>
      <color theme="1" tint="0.249977111117893"/>
      <name val="Franklin Gothic Book"/>
      <family val="2"/>
    </font>
    <font>
      <b/>
      <sz val="12"/>
      <name val="Franklin Gothic Book"/>
      <family val="2"/>
    </font>
    <font>
      <i/>
      <vertAlign val="superscript"/>
      <sz val="11"/>
      <color theme="1" tint="0.249977111117893"/>
      <name val="Franklin Gothic Book"/>
      <family val="2"/>
    </font>
    <font>
      <sz val="12"/>
      <color theme="0"/>
      <name val="Franklin Gothic Book"/>
      <family val="2"/>
    </font>
    <font>
      <b/>
      <i/>
      <sz val="12"/>
      <color theme="1" tint="0.249977111117893"/>
      <name val="Franklin Gothic Book"/>
      <family val="2"/>
    </font>
    <font>
      <b/>
      <sz val="12"/>
      <color theme="7" tint="-0.249977111117893"/>
      <name val="Franklin Gothic Book"/>
      <family val="2"/>
    </font>
    <font>
      <b/>
      <i/>
      <sz val="12"/>
      <color theme="7" tint="-0.249977111117893"/>
      <name val="Franklin Gothic Book"/>
      <family val="2"/>
    </font>
    <font>
      <b/>
      <i/>
      <sz val="12"/>
      <color theme="0"/>
      <name val="Franklin Gothic Book"/>
      <family val="2"/>
    </font>
    <font>
      <i/>
      <sz val="12"/>
      <color theme="0"/>
      <name val="Franklin Gothic Book"/>
      <family val="2"/>
    </font>
    <font>
      <b/>
      <i/>
      <sz val="14"/>
      <color theme="1" tint="0.249977111117893"/>
      <name val="Franklin Gothic Book"/>
      <family val="2"/>
    </font>
    <font>
      <i/>
      <sz val="14"/>
      <color theme="1" tint="0.249977111117893"/>
      <name val="Franklin Gothic Book"/>
      <family val="2"/>
    </font>
    <font>
      <sz val="11"/>
      <color rgb="FF404040"/>
      <name val="Franklin Gothic Book"/>
      <family val="2"/>
    </font>
    <font>
      <b/>
      <sz val="11"/>
      <color rgb="FF404040"/>
      <name val="Franklin Gothic Book"/>
      <family val="2"/>
    </font>
    <font>
      <b/>
      <sz val="16"/>
      <color theme="1" tint="0.249977111117893"/>
      <name val="Franklin Gothic Book"/>
      <family val="2"/>
    </font>
    <font>
      <sz val="12"/>
      <color theme="1" tint="0.249977111117893"/>
      <name val="Arial"/>
      <family val="2"/>
    </font>
    <font>
      <sz val="16"/>
      <color theme="1"/>
      <name val="Arial"/>
      <family val="2"/>
    </font>
    <font>
      <sz val="9"/>
      <color theme="1"/>
      <name val="Franklin Gothic Book"/>
      <family val="2"/>
    </font>
    <font>
      <b/>
      <sz val="9"/>
      <color theme="1"/>
      <name val="Franklin Gothic Book"/>
      <family val="2"/>
    </font>
    <font>
      <vertAlign val="superscript"/>
      <sz val="11"/>
      <color theme="1" tint="0.249977111117893"/>
      <name val="Franklin Gothic Book"/>
      <family val="2"/>
    </font>
    <font>
      <vertAlign val="superscript"/>
      <sz val="9"/>
      <color theme="1"/>
      <name val="Franklin Gothic Book"/>
      <family val="2"/>
    </font>
    <font>
      <sz val="12"/>
      <color theme="1" tint="0.249977111117893"/>
      <name val="Calibri"/>
      <family val="2"/>
      <scheme val="minor"/>
    </font>
    <font>
      <u/>
      <sz val="12"/>
      <color theme="1" tint="0.249977111117893"/>
      <name val="Calibri"/>
      <family val="2"/>
      <scheme val="minor"/>
    </font>
    <font>
      <sz val="11"/>
      <color theme="1"/>
      <name val="Arial"/>
      <family val="2"/>
    </font>
    <font>
      <sz val="13"/>
      <color theme="1"/>
      <name val="Calibri"/>
      <family val="2"/>
      <scheme val="minor"/>
    </font>
    <font>
      <b/>
      <sz val="13"/>
      <color theme="1"/>
      <name val="Calibri"/>
      <family val="2"/>
      <scheme val="minor"/>
    </font>
    <font>
      <b/>
      <sz val="12"/>
      <color theme="1"/>
      <name val="Calibri"/>
      <family val="2"/>
      <scheme val="minor"/>
    </font>
    <font>
      <sz val="13"/>
      <name val="Calibri"/>
      <family val="2"/>
      <scheme val="minor"/>
    </font>
    <font>
      <sz val="9"/>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CC"/>
        <bgColor rgb="FFF2F2F2"/>
      </patternFill>
    </fill>
    <fill>
      <patternFill patternType="solid">
        <fgColor rgb="FFFFFFCC"/>
        <bgColor rgb="FFD9D9D9"/>
      </patternFill>
    </fill>
    <fill>
      <patternFill patternType="solid">
        <fgColor theme="7" tint="0.79998168889431442"/>
        <bgColor rgb="FFF2F2F2"/>
      </patternFill>
    </fill>
    <fill>
      <patternFill patternType="solid">
        <fgColor theme="7" tint="0.79998168889431442"/>
        <bgColor rgb="FFD9D9D9"/>
      </patternFill>
    </fill>
    <fill>
      <patternFill patternType="solid">
        <fgColor theme="6" tint="-0.499984740745262"/>
        <bgColor indexed="64"/>
      </patternFill>
    </fill>
    <fill>
      <patternFill patternType="solid">
        <fgColor theme="4" tint="-0.249977111117893"/>
        <bgColor indexed="64"/>
      </patternFill>
    </fill>
    <fill>
      <patternFill patternType="solid">
        <fgColor rgb="FF347D94"/>
        <bgColor indexed="64"/>
      </patternFill>
    </fill>
    <fill>
      <patternFill patternType="solid">
        <fgColor theme="0"/>
        <bgColor rgb="FFF2F2F2"/>
      </patternFill>
    </fill>
    <fill>
      <patternFill patternType="solid">
        <fgColor theme="6" tint="-0.499984740745262"/>
        <bgColor auto="1"/>
      </patternFill>
    </fill>
    <fill>
      <patternFill patternType="solid">
        <fgColor theme="3" tint="-0.249977111117893"/>
        <bgColor indexed="64"/>
      </patternFill>
    </fill>
    <fill>
      <patternFill patternType="solid">
        <fgColor theme="7" tint="0.39997558519241921"/>
        <bgColor indexed="64"/>
      </patternFill>
    </fill>
    <fill>
      <patternFill patternType="solid">
        <fgColor theme="7" tint="0.59999389629810485"/>
        <bgColor rgb="FFF2F2F2"/>
      </patternFill>
    </fill>
    <fill>
      <patternFill patternType="solid">
        <fgColor theme="7" tint="0.59999389629810485"/>
        <bgColor rgb="FFDEF2F0"/>
      </patternFill>
    </fill>
    <fill>
      <patternFill patternType="solid">
        <fgColor theme="7" tint="0.79998168889431442"/>
        <bgColor rgb="FFFF9100"/>
      </patternFill>
    </fill>
    <fill>
      <patternFill patternType="solid">
        <fgColor rgb="FFFFFFCC"/>
        <bgColor rgb="FFDEF2F0"/>
      </patternFill>
    </fill>
    <fill>
      <patternFill patternType="solid">
        <fgColor theme="0"/>
        <bgColor rgb="FFDEF2F0"/>
      </patternFill>
    </fill>
    <fill>
      <patternFill patternType="solid">
        <fgColor theme="9" tint="0.59999389629810485"/>
        <bgColor indexed="64"/>
      </patternFill>
    </fill>
    <fill>
      <patternFill patternType="solid">
        <fgColor theme="9" tint="-0.24994659260841701"/>
        <bgColor indexed="64"/>
      </patternFill>
    </fill>
    <fill>
      <patternFill patternType="solid">
        <fgColor theme="0"/>
        <bgColor rgb="FFD9D9D9"/>
      </patternFill>
    </fill>
    <fill>
      <patternFill patternType="solid">
        <fgColor rgb="FFE2F0D9"/>
        <bgColor indexed="64"/>
      </patternFill>
    </fill>
    <fill>
      <patternFill patternType="solid">
        <fgColor rgb="FFBDD7EE"/>
        <bgColor indexed="64"/>
      </patternFill>
    </fill>
    <fill>
      <patternFill patternType="solid">
        <fgColor rgb="FFB9D9E5"/>
        <bgColor indexed="64"/>
      </patternFill>
    </fill>
    <fill>
      <patternFill patternType="solid">
        <fgColor rgb="FFCCCCFF"/>
        <bgColor indexed="64"/>
      </patternFill>
    </fill>
    <fill>
      <patternFill patternType="solid">
        <fgColor theme="0"/>
        <bgColor theme="0"/>
      </patternFill>
    </fill>
  </fills>
  <borders count="125">
    <border>
      <left/>
      <right/>
      <top/>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ashed">
        <color auto="1"/>
      </right>
      <top style="thin">
        <color auto="1"/>
      </top>
      <bottom style="dashed">
        <color auto="1"/>
      </bottom>
      <diagonal/>
    </border>
    <border>
      <left/>
      <right style="dashed">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theme="0"/>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dashed">
        <color indexed="64"/>
      </left>
      <right style="thin">
        <color auto="1"/>
      </right>
      <top style="thin">
        <color auto="1"/>
      </top>
      <bottom style="thin">
        <color auto="1"/>
      </bottom>
      <diagonal/>
    </border>
    <border>
      <left style="dashed">
        <color auto="1"/>
      </left>
      <right/>
      <top style="dashed">
        <color auto="1"/>
      </top>
      <bottom style="thin">
        <color auto="1"/>
      </bottom>
      <diagonal/>
    </border>
    <border>
      <left style="dashed">
        <color auto="1"/>
      </left>
      <right/>
      <top style="thin">
        <color auto="1"/>
      </top>
      <bottom style="dashed">
        <color auto="1"/>
      </bottom>
      <diagonal/>
    </border>
    <border>
      <left style="dashed">
        <color auto="1"/>
      </left>
      <right style="dashed">
        <color auto="1"/>
      </right>
      <top style="thin">
        <color auto="1"/>
      </top>
      <bottom/>
      <diagonal/>
    </border>
    <border>
      <left/>
      <right style="dashed">
        <color auto="1"/>
      </right>
      <top style="thin">
        <color auto="1"/>
      </top>
      <bottom/>
      <diagonal/>
    </border>
    <border>
      <left style="thin">
        <color auto="1"/>
      </left>
      <right/>
      <top style="thin">
        <color auto="1"/>
      </top>
      <bottom/>
      <diagonal/>
    </border>
    <border>
      <left/>
      <right style="thin">
        <color theme="0"/>
      </right>
      <top/>
      <bottom/>
      <diagonal/>
    </border>
    <border>
      <left/>
      <right style="thin">
        <color auto="1"/>
      </right>
      <top style="thin">
        <color auto="1"/>
      </top>
      <bottom/>
      <diagonal/>
    </border>
    <border>
      <left style="thin">
        <color auto="1"/>
      </left>
      <right style="thin">
        <color auto="1"/>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thin">
        <color auto="1"/>
      </bottom>
      <diagonal/>
    </border>
    <border>
      <left/>
      <right style="dashed">
        <color auto="1"/>
      </right>
      <top/>
      <bottom style="thin">
        <color auto="1"/>
      </bottom>
      <diagonal/>
    </border>
    <border>
      <left style="dashed">
        <color auto="1"/>
      </left>
      <right/>
      <top/>
      <bottom style="thin">
        <color auto="1"/>
      </bottom>
      <diagonal/>
    </border>
    <border>
      <left style="thin">
        <color theme="0"/>
      </left>
      <right style="thin">
        <color theme="0"/>
      </right>
      <top style="thin">
        <color auto="1"/>
      </top>
      <bottom/>
      <diagonal/>
    </border>
    <border>
      <left style="thin">
        <color theme="0"/>
      </left>
      <right/>
      <top style="thin">
        <color auto="1"/>
      </top>
      <bottom/>
      <diagonal/>
    </border>
    <border>
      <left/>
      <right style="thin">
        <color theme="0"/>
      </right>
      <top style="thin">
        <color auto="1"/>
      </top>
      <bottom/>
      <diagonal/>
    </border>
    <border>
      <left/>
      <right style="thin">
        <color auto="1"/>
      </right>
      <top/>
      <bottom style="dashed">
        <color auto="1"/>
      </bottom>
      <diagonal/>
    </border>
    <border>
      <left/>
      <right/>
      <top/>
      <bottom style="dashed">
        <color auto="1"/>
      </bottom>
      <diagonal/>
    </border>
    <border>
      <left style="thin">
        <color auto="1"/>
      </left>
      <right/>
      <top/>
      <bottom style="dashed">
        <color auto="1"/>
      </bottom>
      <diagonal/>
    </border>
    <border>
      <left style="thin">
        <color theme="0"/>
      </left>
      <right style="thin">
        <color auto="1"/>
      </right>
      <top style="thin">
        <color auto="1"/>
      </top>
      <bottom/>
      <diagonal/>
    </border>
    <border>
      <left style="dashed">
        <color auto="1"/>
      </left>
      <right/>
      <top style="thin">
        <color auto="1"/>
      </top>
      <bottom style="thin">
        <color auto="1"/>
      </bottom>
      <diagonal/>
    </border>
    <border>
      <left style="dashed">
        <color auto="1"/>
      </left>
      <right/>
      <top style="dashed">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thin">
        <color auto="1"/>
      </right>
      <top/>
      <bottom style="dashed">
        <color auto="1"/>
      </bottom>
      <diagonal/>
    </border>
    <border>
      <left style="thin">
        <color theme="0"/>
      </left>
      <right/>
      <top/>
      <bottom/>
      <diagonal/>
    </border>
    <border>
      <left style="dashed">
        <color auto="1"/>
      </left>
      <right style="dashed">
        <color auto="1"/>
      </right>
      <top style="dashed">
        <color auto="1"/>
      </top>
      <bottom/>
      <diagonal/>
    </border>
    <border>
      <left style="dashed">
        <color auto="1"/>
      </left>
      <right style="thin">
        <color auto="1"/>
      </right>
      <top style="dashed">
        <color auto="1"/>
      </top>
      <bottom/>
      <diagonal/>
    </border>
    <border>
      <left style="thin">
        <color auto="1"/>
      </left>
      <right style="thin">
        <color auto="1"/>
      </right>
      <top style="dashed">
        <color auto="1"/>
      </top>
      <bottom/>
      <diagonal/>
    </border>
    <border>
      <left style="thick">
        <color auto="1"/>
      </left>
      <right style="dashed">
        <color auto="1"/>
      </right>
      <top style="thin">
        <color auto="1"/>
      </top>
      <bottom style="thin">
        <color auto="1"/>
      </bottom>
      <diagonal/>
    </border>
    <border>
      <left style="thin">
        <color auto="1"/>
      </left>
      <right style="thin">
        <color auto="1"/>
      </right>
      <top style="dashed">
        <color auto="1"/>
      </top>
      <bottom style="thin">
        <color auto="1"/>
      </bottom>
      <diagonal/>
    </border>
    <border>
      <left/>
      <right style="dashed">
        <color auto="1"/>
      </right>
      <top/>
      <bottom/>
      <diagonal/>
    </border>
    <border>
      <left style="thin">
        <color auto="1"/>
      </left>
      <right style="dashed">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thin">
        <color auto="1"/>
      </right>
      <top style="dashed">
        <color auto="1"/>
      </top>
      <bottom style="medium">
        <color auto="1"/>
      </bottom>
      <diagonal/>
    </border>
    <border>
      <left style="dashed">
        <color auto="1"/>
      </left>
      <right style="medium">
        <color auto="1"/>
      </right>
      <top/>
      <bottom style="thin">
        <color auto="1"/>
      </bottom>
      <diagonal/>
    </border>
    <border>
      <left style="thin">
        <color auto="1"/>
      </left>
      <right style="thin">
        <color auto="1"/>
      </right>
      <top style="thin">
        <color auto="1"/>
      </top>
      <bottom/>
      <diagonal/>
    </border>
    <border>
      <left style="thin">
        <color rgb="FFFFFFFF"/>
      </left>
      <right style="thin">
        <color auto="1"/>
      </right>
      <top style="thin">
        <color auto="1"/>
      </top>
      <bottom style="thin">
        <color auto="1"/>
      </bottom>
      <diagonal/>
    </border>
    <border>
      <left/>
      <right style="thin">
        <color rgb="FFFFFFFF"/>
      </right>
      <top style="thin">
        <color auto="1"/>
      </top>
      <bottom style="thin">
        <color auto="1"/>
      </bottom>
      <diagonal/>
    </border>
    <border>
      <left style="thin">
        <color auto="1"/>
      </left>
      <right style="dashed">
        <color auto="1"/>
      </right>
      <top style="dashed">
        <color auto="1"/>
      </top>
      <bottom/>
      <diagonal/>
    </border>
    <border>
      <left style="dashed">
        <color auto="1"/>
      </left>
      <right style="dashed">
        <color auto="1"/>
      </right>
      <top/>
      <bottom style="dashed">
        <color auto="1"/>
      </bottom>
      <diagonal/>
    </border>
    <border>
      <left style="thin">
        <color auto="1"/>
      </left>
      <right style="dashed">
        <color auto="1"/>
      </right>
      <top/>
      <bottom style="dashed">
        <color auto="1"/>
      </bottom>
      <diagonal/>
    </border>
    <border>
      <left style="thin">
        <color auto="1"/>
      </left>
      <right style="thin">
        <color auto="1"/>
      </right>
      <top style="thin">
        <color auto="1"/>
      </top>
      <bottom style="medium">
        <color indexed="64"/>
      </bottom>
      <diagonal/>
    </border>
    <border>
      <left style="thin">
        <color auto="1"/>
      </left>
      <right style="dashed">
        <color auto="1"/>
      </right>
      <top style="thin">
        <color auto="1"/>
      </top>
      <bottom style="thin">
        <color auto="1"/>
      </bottom>
      <diagonal/>
    </border>
    <border>
      <left/>
      <right style="thin">
        <color auto="1"/>
      </right>
      <top style="thin">
        <color theme="0"/>
      </top>
      <bottom/>
      <diagonal/>
    </border>
    <border>
      <left style="thin">
        <color theme="0"/>
      </left>
      <right/>
      <top style="thin">
        <color theme="0"/>
      </top>
      <bottom/>
      <diagonal/>
    </border>
    <border>
      <left/>
      <right style="thin">
        <color auto="1"/>
      </right>
      <top style="thin">
        <color theme="0"/>
      </top>
      <bottom style="thin">
        <color theme="0"/>
      </bottom>
      <diagonal/>
    </border>
    <border>
      <left style="thin">
        <color theme="0"/>
      </left>
      <right/>
      <top style="thin">
        <color theme="0"/>
      </top>
      <bottom style="thin">
        <color theme="0"/>
      </bottom>
      <diagonal/>
    </border>
    <border>
      <left/>
      <right style="thin">
        <color auto="1"/>
      </right>
      <top style="thin">
        <color auto="1"/>
      </top>
      <bottom style="thin">
        <color theme="0"/>
      </bottom>
      <diagonal/>
    </border>
    <border>
      <left style="thin">
        <color theme="0"/>
      </left>
      <right/>
      <top style="thin">
        <color auto="1"/>
      </top>
      <bottom style="thin">
        <color theme="0"/>
      </bottom>
      <diagonal/>
    </border>
    <border>
      <left style="dashed">
        <color auto="1"/>
      </left>
      <right/>
      <top/>
      <bottom/>
      <diagonal/>
    </border>
    <border>
      <left/>
      <right style="dashed">
        <color auto="1"/>
      </right>
      <top/>
      <bottom style="dashed">
        <color auto="1"/>
      </bottom>
      <diagonal/>
    </border>
    <border>
      <left style="thin">
        <color auto="1"/>
      </left>
      <right style="thin">
        <color auto="1"/>
      </right>
      <top style="thin">
        <color theme="0"/>
      </top>
      <bottom/>
      <diagonal/>
    </border>
    <border>
      <left style="thin">
        <color auto="1"/>
      </left>
      <right style="thin">
        <color auto="1"/>
      </right>
      <top/>
      <bottom style="thin">
        <color theme="0"/>
      </bottom>
      <diagonal/>
    </border>
    <border>
      <left style="medium">
        <color auto="1"/>
      </left>
      <right style="dashed">
        <color auto="1"/>
      </right>
      <top/>
      <bottom style="thin">
        <color auto="1"/>
      </bottom>
      <diagonal/>
    </border>
    <border>
      <left style="medium">
        <color auto="1"/>
      </left>
      <right style="dashed">
        <color auto="1"/>
      </right>
      <top style="thin">
        <color auto="1"/>
      </top>
      <bottom/>
      <diagonal/>
    </border>
    <border>
      <left style="medium">
        <color auto="1"/>
      </left>
      <right/>
      <top style="thin">
        <color auto="1"/>
      </top>
      <bottom style="thin">
        <color auto="1"/>
      </bottom>
      <diagonal/>
    </border>
    <border>
      <left style="medium">
        <color auto="1"/>
      </left>
      <right style="dashed">
        <color auto="1"/>
      </right>
      <top style="thin">
        <color auto="1"/>
      </top>
      <bottom style="thin">
        <color auto="1"/>
      </bottom>
      <diagonal/>
    </border>
    <border>
      <left/>
      <right style="medium">
        <color auto="1"/>
      </right>
      <top style="thin">
        <color auto="1"/>
      </top>
      <bottom style="thin">
        <color auto="1"/>
      </bottom>
      <diagonal/>
    </border>
    <border>
      <left/>
      <right style="thin">
        <color theme="0"/>
      </right>
      <top/>
      <bottom style="thin">
        <color theme="0"/>
      </bottom>
      <diagonal/>
    </border>
    <border>
      <left style="thin">
        <color auto="1"/>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dashed">
        <color auto="1"/>
      </left>
      <right/>
      <top/>
      <bottom style="dashed">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auto="1"/>
      </right>
      <top style="medium">
        <color theme="0"/>
      </top>
      <bottom style="medium">
        <color theme="0"/>
      </bottom>
      <diagonal/>
    </border>
    <border>
      <left style="medium">
        <color theme="0"/>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dashed">
        <color indexed="64"/>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s>
  <cellStyleXfs count="11">
    <xf numFmtId="0" fontId="0" fillId="0" borderId="0"/>
    <xf numFmtId="0" fontId="1" fillId="0" borderId="0"/>
    <xf numFmtId="0" fontId="10" fillId="0" borderId="0" applyNumberFormat="0" applyFill="0" applyBorder="0" applyAlignment="0" applyProtection="0"/>
    <xf numFmtId="0" fontId="9" fillId="0" borderId="0"/>
    <xf numFmtId="0" fontId="1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82" fillId="0" borderId="0"/>
  </cellStyleXfs>
  <cellXfs count="1102">
    <xf numFmtId="0" fontId="0" fillId="0" borderId="0" xfId="0"/>
    <xf numFmtId="0" fontId="2" fillId="0" borderId="0" xfId="0" applyFont="1"/>
    <xf numFmtId="0" fontId="12" fillId="0" borderId="0" xfId="3" applyFont="1"/>
    <xf numFmtId="0" fontId="2" fillId="0" borderId="0" xfId="3" applyFont="1"/>
    <xf numFmtId="0" fontId="4" fillId="0" borderId="0" xfId="1" applyFont="1"/>
    <xf numFmtId="0" fontId="4" fillId="0" borderId="31" xfId="1" applyFont="1" applyBorder="1"/>
    <xf numFmtId="0" fontId="16" fillId="0" borderId="0" xfId="4" applyFont="1" applyAlignment="1">
      <alignment horizontal="left" vertical="center" wrapText="1" indent="1"/>
    </xf>
    <xf numFmtId="0" fontId="17" fillId="0" borderId="0" xfId="1" applyFont="1"/>
    <xf numFmtId="0" fontId="4" fillId="0" borderId="0" xfId="1" applyFont="1" applyAlignment="1">
      <alignment horizontal="left" vertical="center" wrapText="1" indent="1"/>
    </xf>
    <xf numFmtId="0" fontId="19" fillId="0" borderId="32" xfId="1" applyFont="1" applyBorder="1" applyAlignment="1">
      <alignment horizontal="center" vertical="center"/>
    </xf>
    <xf numFmtId="0" fontId="4" fillId="0" borderId="32" xfId="1" applyFont="1" applyBorder="1"/>
    <xf numFmtId="0" fontId="2" fillId="0" borderId="0" xfId="1" applyFont="1"/>
    <xf numFmtId="0" fontId="2" fillId="0" borderId="0" xfId="0" applyFont="1" applyAlignment="1">
      <alignment horizontal="left" vertical="center" indent="1"/>
    </xf>
    <xf numFmtId="0" fontId="3" fillId="0" borderId="32" xfId="1" applyFont="1" applyBorder="1" applyAlignment="1">
      <alignment horizontal="center" vertical="center"/>
    </xf>
    <xf numFmtId="9" fontId="25" fillId="3" borderId="57" xfId="1" applyNumberFormat="1" applyFont="1" applyFill="1" applyBorder="1" applyAlignment="1">
      <alignment horizontal="center" vertical="center" wrapText="1"/>
    </xf>
    <xf numFmtId="0" fontId="12" fillId="0" borderId="0" xfId="3" applyFont="1" applyAlignment="1">
      <alignment horizontal="right" vertical="center"/>
    </xf>
    <xf numFmtId="0" fontId="29" fillId="0" borderId="0" xfId="3" applyFont="1"/>
    <xf numFmtId="0" fontId="2" fillId="0" borderId="0" xfId="0" applyFont="1" applyAlignment="1">
      <alignment horizontal="left" vertical="center"/>
    </xf>
    <xf numFmtId="0" fontId="2" fillId="2" borderId="0" xfId="0" applyFont="1" applyFill="1" applyAlignment="1">
      <alignment horizontal="left" vertical="center"/>
    </xf>
    <xf numFmtId="0" fontId="2" fillId="0" borderId="9" xfId="0" applyFont="1" applyBorder="1" applyAlignment="1">
      <alignment horizontal="center"/>
    </xf>
    <xf numFmtId="0" fontId="2" fillId="0" borderId="28" xfId="0" applyFont="1" applyBorder="1" applyAlignment="1">
      <alignment horizontal="center"/>
    </xf>
    <xf numFmtId="0" fontId="2" fillId="0" borderId="15" xfId="0" applyFont="1" applyBorder="1" applyAlignment="1">
      <alignment horizontal="center"/>
    </xf>
    <xf numFmtId="0" fontId="2" fillId="0" borderId="3" xfId="0" applyFont="1" applyBorder="1"/>
    <xf numFmtId="0" fontId="18" fillId="11" borderId="51" xfId="1" applyFont="1" applyFill="1" applyBorder="1" applyAlignment="1">
      <alignment horizontal="center" vertical="center" wrapText="1"/>
    </xf>
    <xf numFmtId="0" fontId="31" fillId="0" borderId="0" xfId="0" applyFont="1" applyAlignment="1">
      <alignment horizontal="left" vertical="center" wrapText="1" indent="1"/>
    </xf>
    <xf numFmtId="0" fontId="32" fillId="0" borderId="0" xfId="0" applyFont="1"/>
    <xf numFmtId="0" fontId="2" fillId="0" borderId="0" xfId="0" applyFont="1" applyAlignment="1">
      <alignment horizontal="left" vertical="center" wrapText="1" indent="1"/>
    </xf>
    <xf numFmtId="0" fontId="2" fillId="0" borderId="27"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xf numFmtId="0" fontId="2" fillId="0" borderId="7" xfId="0" applyFont="1" applyBorder="1"/>
    <xf numFmtId="0" fontId="2" fillId="2" borderId="7" xfId="0" applyFont="1" applyFill="1" applyBorder="1" applyAlignment="1">
      <alignment horizontal="left" vertical="center" indent="1"/>
    </xf>
    <xf numFmtId="0" fontId="2" fillId="0" borderId="19" xfId="0" applyFont="1" applyBorder="1" applyAlignment="1">
      <alignment horizontal="left" vertical="center" indent="1"/>
    </xf>
    <xf numFmtId="0" fontId="2" fillId="0" borderId="14" xfId="0" applyFont="1" applyBorder="1" applyAlignment="1">
      <alignment horizontal="left" vertical="center" indent="1"/>
    </xf>
    <xf numFmtId="0" fontId="35" fillId="0" borderId="14" xfId="0" applyFont="1" applyBorder="1" applyAlignment="1">
      <alignment horizontal="left" vertical="center" indent="1"/>
    </xf>
    <xf numFmtId="0" fontId="35" fillId="0" borderId="20" xfId="0" applyFont="1" applyBorder="1" applyAlignment="1">
      <alignment horizontal="left" vertical="center" wrapText="1" indent="1"/>
    </xf>
    <xf numFmtId="9" fontId="25" fillId="3" borderId="41" xfId="3" applyNumberFormat="1" applyFont="1" applyFill="1" applyBorder="1" applyAlignment="1">
      <alignment horizontal="center" vertical="center" wrapText="1"/>
    </xf>
    <xf numFmtId="0" fontId="18" fillId="17" borderId="52" xfId="3"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30" fillId="0" borderId="8" xfId="0" applyFont="1" applyBorder="1" applyAlignment="1">
      <alignment horizontal="left" vertical="center" wrapText="1" indent="1"/>
    </xf>
    <xf numFmtId="0" fontId="30" fillId="0" borderId="9" xfId="0" applyFont="1" applyBorder="1" applyAlignment="1">
      <alignment horizontal="left" vertical="center" wrapText="1" indent="1"/>
    </xf>
    <xf numFmtId="0" fontId="17" fillId="2" borderId="44" xfId="0" applyFont="1" applyFill="1" applyBorder="1" applyAlignment="1">
      <alignment horizontal="center" vertical="center"/>
    </xf>
    <xf numFmtId="0" fontId="17" fillId="2" borderId="34" xfId="0" applyFont="1" applyFill="1" applyBorder="1" applyAlignment="1">
      <alignment horizontal="center" vertical="center"/>
    </xf>
    <xf numFmtId="3" fontId="12" fillId="5" borderId="19" xfId="0" applyNumberFormat="1" applyFont="1" applyFill="1" applyBorder="1" applyAlignment="1">
      <alignment horizontal="right" vertical="center" indent="1"/>
    </xf>
    <xf numFmtId="3" fontId="12" fillId="5" borderId="1" xfId="0" applyNumberFormat="1" applyFont="1" applyFill="1" applyBorder="1" applyAlignment="1">
      <alignment horizontal="right" vertical="center" indent="1"/>
    </xf>
    <xf numFmtId="3" fontId="12" fillId="5" borderId="2" xfId="0" applyNumberFormat="1" applyFont="1" applyFill="1" applyBorder="1" applyAlignment="1">
      <alignment horizontal="right" vertical="center" indent="1"/>
    </xf>
    <xf numFmtId="3" fontId="12" fillId="5" borderId="14" xfId="0" applyNumberFormat="1" applyFont="1" applyFill="1" applyBorder="1" applyAlignment="1">
      <alignment horizontal="center"/>
    </xf>
    <xf numFmtId="3" fontId="12" fillId="5" borderId="4" xfId="0" applyNumberFormat="1" applyFont="1" applyFill="1" applyBorder="1" applyAlignment="1">
      <alignment horizontal="center"/>
    </xf>
    <xf numFmtId="3" fontId="12" fillId="5" borderId="5" xfId="0" applyNumberFormat="1" applyFont="1" applyFill="1" applyBorder="1" applyAlignment="1">
      <alignment horizontal="center"/>
    </xf>
    <xf numFmtId="3" fontId="12" fillId="5" borderId="20" xfId="0" applyNumberFormat="1" applyFont="1" applyFill="1" applyBorder="1" applyAlignment="1">
      <alignment horizontal="center"/>
    </xf>
    <xf numFmtId="3" fontId="12" fillId="5" borderId="6" xfId="0" applyNumberFormat="1" applyFont="1" applyFill="1" applyBorder="1" applyAlignment="1">
      <alignment horizontal="center"/>
    </xf>
    <xf numFmtId="3" fontId="12" fillId="5" borderId="7" xfId="0" applyNumberFormat="1" applyFont="1" applyFill="1" applyBorder="1" applyAlignment="1">
      <alignment horizontal="center"/>
    </xf>
    <xf numFmtId="3" fontId="12" fillId="3" borderId="44" xfId="0" applyNumberFormat="1" applyFont="1" applyFill="1" applyBorder="1" applyAlignment="1">
      <alignment horizontal="center" vertical="center"/>
    </xf>
    <xf numFmtId="3" fontId="12" fillId="3" borderId="34" xfId="0" applyNumberFormat="1" applyFont="1" applyFill="1" applyBorder="1" applyAlignment="1">
      <alignment horizontal="center" vertical="center"/>
    </xf>
    <xf numFmtId="9" fontId="21" fillId="3" borderId="34" xfId="0" applyNumberFormat="1" applyFont="1" applyFill="1" applyBorder="1" applyAlignment="1">
      <alignment horizontal="right" vertical="center" indent="1"/>
    </xf>
    <xf numFmtId="0" fontId="12" fillId="0" borderId="0" xfId="3" applyFont="1" applyAlignment="1">
      <alignment horizontal="left" vertical="top" wrapText="1" indent="1"/>
    </xf>
    <xf numFmtId="0" fontId="41" fillId="0" borderId="0" xfId="3" applyFont="1" applyAlignment="1">
      <alignment vertical="center"/>
    </xf>
    <xf numFmtId="0" fontId="9" fillId="0" borderId="0" xfId="3"/>
    <xf numFmtId="0" fontId="41" fillId="0" borderId="0" xfId="3" applyFont="1"/>
    <xf numFmtId="9" fontId="8" fillId="0" borderId="0" xfId="0" applyNumberFormat="1" applyFont="1" applyAlignment="1">
      <alignment horizontal="center" vertical="center"/>
    </xf>
    <xf numFmtId="0" fontId="24" fillId="0" borderId="0" xfId="1" applyFont="1" applyAlignment="1">
      <alignment horizontal="left" vertical="center" wrapText="1" indent="1"/>
    </xf>
    <xf numFmtId="0" fontId="21" fillId="0" borderId="0" xfId="1" applyFont="1" applyAlignment="1">
      <alignment horizontal="left" vertical="center" wrapText="1" indent="1"/>
    </xf>
    <xf numFmtId="0" fontId="30" fillId="0" borderId="32" xfId="0" applyFont="1" applyBorder="1" applyAlignment="1">
      <alignment horizontal="left" vertical="center" wrapText="1" indent="1"/>
    </xf>
    <xf numFmtId="0" fontId="12" fillId="2" borderId="28" xfId="0" applyFont="1" applyFill="1" applyBorder="1" applyAlignment="1">
      <alignment horizontal="left" vertical="center" indent="1"/>
    </xf>
    <xf numFmtId="0" fontId="12" fillId="2" borderId="11" xfId="0" applyFont="1" applyFill="1" applyBorder="1" applyAlignment="1">
      <alignment horizontal="left" vertical="center" indent="1"/>
    </xf>
    <xf numFmtId="166" fontId="12" fillId="5" borderId="44" xfId="0" applyNumberFormat="1" applyFont="1" applyFill="1" applyBorder="1" applyAlignment="1">
      <alignment horizontal="right" vertical="center" wrapText="1" indent="1"/>
    </xf>
    <xf numFmtId="166" fontId="12" fillId="5" borderId="33" xfId="0" applyNumberFormat="1" applyFont="1" applyFill="1" applyBorder="1" applyAlignment="1">
      <alignment horizontal="right" vertical="center" wrapText="1" indent="1"/>
    </xf>
    <xf numFmtId="3" fontId="12" fillId="5" borderId="47" xfId="0" applyNumberFormat="1" applyFont="1" applyFill="1" applyBorder="1" applyAlignment="1">
      <alignment horizontal="right" vertical="center" wrapText="1" indent="1"/>
    </xf>
    <xf numFmtId="3" fontId="12" fillId="5" borderId="48" xfId="0" applyNumberFormat="1" applyFont="1" applyFill="1" applyBorder="1" applyAlignment="1">
      <alignment horizontal="right" vertical="center" wrapText="1" indent="1"/>
    </xf>
    <xf numFmtId="9" fontId="12" fillId="5" borderId="1" xfId="0" applyNumberFormat="1" applyFont="1" applyFill="1" applyBorder="1" applyAlignment="1">
      <alignment horizontal="right" vertical="center" wrapText="1" indent="1"/>
    </xf>
    <xf numFmtId="9" fontId="12" fillId="5" borderId="6" xfId="0" applyNumberFormat="1" applyFont="1" applyFill="1" applyBorder="1" applyAlignment="1">
      <alignment horizontal="right" vertical="center" wrapText="1" indent="1"/>
    </xf>
    <xf numFmtId="0" fontId="12" fillId="2" borderId="11" xfId="0" applyFont="1" applyFill="1" applyBorder="1" applyAlignment="1">
      <alignment horizontal="left" vertical="center" wrapText="1" indent="1"/>
    </xf>
    <xf numFmtId="0" fontId="12" fillId="0" borderId="0" xfId="0" applyFont="1"/>
    <xf numFmtId="0" fontId="12" fillId="2" borderId="23" xfId="1" applyFont="1" applyFill="1" applyBorder="1" applyAlignment="1">
      <alignment horizontal="left" vertical="center" indent="1"/>
    </xf>
    <xf numFmtId="0" fontId="12" fillId="5" borderId="10" xfId="1" applyFont="1" applyFill="1" applyBorder="1" applyAlignment="1">
      <alignment horizontal="left" vertical="center" indent="1"/>
    </xf>
    <xf numFmtId="0" fontId="12" fillId="3" borderId="18" xfId="1" applyFont="1" applyFill="1" applyBorder="1" applyAlignment="1">
      <alignment horizontal="left" vertical="center" indent="1"/>
    </xf>
    <xf numFmtId="0" fontId="5" fillId="3" borderId="16" xfId="1" applyFont="1" applyFill="1" applyBorder="1" applyAlignment="1">
      <alignment horizontal="left" vertical="center" indent="1"/>
    </xf>
    <xf numFmtId="0" fontId="5" fillId="3" borderId="17" xfId="1" applyFont="1" applyFill="1" applyBorder="1" applyAlignment="1">
      <alignment horizontal="left" vertical="center" indent="1"/>
    </xf>
    <xf numFmtId="0" fontId="5" fillId="3" borderId="18" xfId="1" applyFont="1" applyFill="1" applyBorder="1" applyAlignment="1">
      <alignment horizontal="left" vertical="center" indent="1"/>
    </xf>
    <xf numFmtId="0" fontId="5" fillId="2" borderId="21" xfId="1" applyFont="1" applyFill="1" applyBorder="1" applyAlignment="1">
      <alignment horizontal="left" vertical="center" indent="1"/>
    </xf>
    <xf numFmtId="0" fontId="5" fillId="2" borderId="22" xfId="1" applyFont="1" applyFill="1" applyBorder="1" applyAlignment="1">
      <alignment horizontal="left" vertical="center" indent="1"/>
    </xf>
    <xf numFmtId="0" fontId="5" fillId="2" borderId="23" xfId="1" applyFont="1" applyFill="1" applyBorder="1" applyAlignment="1">
      <alignment horizontal="left" vertical="center" indent="1"/>
    </xf>
    <xf numFmtId="0" fontId="5" fillId="5" borderId="8" xfId="1" applyFont="1" applyFill="1" applyBorder="1" applyAlignment="1">
      <alignment horizontal="left" vertical="center" indent="1"/>
    </xf>
    <xf numFmtId="0" fontId="5" fillId="5" borderId="9" xfId="1" applyFont="1" applyFill="1" applyBorder="1" applyAlignment="1">
      <alignment horizontal="left" vertical="center" indent="1"/>
    </xf>
    <xf numFmtId="0" fontId="5" fillId="5" borderId="10" xfId="1" applyFont="1" applyFill="1" applyBorder="1" applyAlignment="1">
      <alignment horizontal="left" vertical="center" indent="1"/>
    </xf>
    <xf numFmtId="0" fontId="12" fillId="2" borderId="32" xfId="1" applyFont="1" applyFill="1" applyBorder="1" applyAlignment="1">
      <alignment horizontal="left" vertical="center" wrapText="1" indent="1"/>
    </xf>
    <xf numFmtId="0" fontId="12" fillId="2" borderId="27" xfId="1" applyFont="1" applyFill="1" applyBorder="1" applyAlignment="1">
      <alignment horizontal="left" vertical="center" wrapText="1" indent="1"/>
    </xf>
    <xf numFmtId="0" fontId="17" fillId="0" borderId="32" xfId="1" applyFont="1" applyBorder="1"/>
    <xf numFmtId="0" fontId="12" fillId="2" borderId="0" xfId="1" applyFont="1" applyFill="1" applyAlignment="1">
      <alignment horizontal="left" vertical="center" wrapText="1" indent="1"/>
    </xf>
    <xf numFmtId="0" fontId="46" fillId="0" borderId="0" xfId="4" applyFont="1" applyAlignment="1">
      <alignment horizontal="left" vertical="center" wrapText="1" indent="1"/>
    </xf>
    <xf numFmtId="0" fontId="2" fillId="6" borderId="74" xfId="0" applyFont="1" applyFill="1" applyBorder="1" applyAlignment="1">
      <alignment horizontal="left" vertical="center" indent="1"/>
    </xf>
    <xf numFmtId="0" fontId="2" fillId="6" borderId="75" xfId="0" applyFont="1" applyFill="1" applyBorder="1" applyAlignment="1">
      <alignment horizontal="right" vertical="center" indent="1"/>
    </xf>
    <xf numFmtId="0" fontId="2" fillId="5" borderId="47" xfId="0" applyFont="1" applyFill="1" applyBorder="1" applyAlignment="1">
      <alignment horizontal="left" vertical="center" indent="1"/>
    </xf>
    <xf numFmtId="3" fontId="2" fillId="5" borderId="1" xfId="0" applyNumberFormat="1" applyFont="1" applyFill="1" applyBorder="1" applyAlignment="1">
      <alignment horizontal="right" vertical="center" indent="1"/>
    </xf>
    <xf numFmtId="0" fontId="2" fillId="5" borderId="3" xfId="0" applyFont="1" applyFill="1" applyBorder="1" applyAlignment="1">
      <alignment horizontal="left" vertical="center" indent="1"/>
    </xf>
    <xf numFmtId="3" fontId="2" fillId="5" borderId="4" xfId="0" applyNumberFormat="1" applyFont="1" applyFill="1" applyBorder="1" applyAlignment="1">
      <alignment horizontal="right" vertical="center" indent="1"/>
    </xf>
    <xf numFmtId="0" fontId="2" fillId="5" borderId="48" xfId="0" applyFont="1" applyFill="1" applyBorder="1" applyAlignment="1">
      <alignment horizontal="left" vertical="center" indent="1"/>
    </xf>
    <xf numFmtId="3" fontId="2" fillId="5" borderId="6" xfId="0" applyNumberFormat="1" applyFont="1" applyFill="1" applyBorder="1" applyAlignment="1">
      <alignment horizontal="right" vertical="center" indent="1"/>
    </xf>
    <xf numFmtId="0" fontId="2" fillId="2" borderId="11" xfId="0" applyFont="1" applyFill="1" applyBorder="1" applyAlignment="1">
      <alignment horizontal="right" vertical="center" indent="1"/>
    </xf>
    <xf numFmtId="3" fontId="2" fillId="3" borderId="75" xfId="0" applyNumberFormat="1" applyFont="1" applyFill="1" applyBorder="1" applyAlignment="1">
      <alignment horizontal="right" vertical="center" indent="1"/>
    </xf>
    <xf numFmtId="3" fontId="2" fillId="3" borderId="6" xfId="0" applyNumberFormat="1" applyFont="1" applyFill="1" applyBorder="1" applyAlignment="1">
      <alignment horizontal="right" vertical="center" indent="1"/>
    </xf>
    <xf numFmtId="0" fontId="2" fillId="6" borderId="75" xfId="0" applyFont="1" applyFill="1" applyBorder="1" applyAlignment="1">
      <alignment horizontal="left" vertical="center" indent="1"/>
    </xf>
    <xf numFmtId="0" fontId="2" fillId="6" borderId="26" xfId="0" applyFont="1" applyFill="1" applyBorder="1" applyAlignment="1">
      <alignment horizontal="left" vertical="center" indent="1"/>
    </xf>
    <xf numFmtId="0" fontId="49" fillId="7" borderId="47" xfId="0" applyFont="1" applyFill="1" applyBorder="1" applyAlignment="1">
      <alignment horizontal="left" vertical="center" indent="1"/>
    </xf>
    <xf numFmtId="0" fontId="2" fillId="5" borderId="1" xfId="0" applyFont="1" applyFill="1" applyBorder="1" applyAlignment="1">
      <alignment horizontal="left" vertical="center" indent="1"/>
    </xf>
    <xf numFmtId="0" fontId="2" fillId="5" borderId="2" xfId="0" applyFont="1" applyFill="1" applyBorder="1" applyAlignment="1">
      <alignment horizontal="left" vertical="center" indent="1"/>
    </xf>
    <xf numFmtId="0" fontId="49" fillId="7" borderId="3" xfId="0" applyFont="1" applyFill="1" applyBorder="1" applyAlignment="1">
      <alignment horizontal="left" vertical="center" indent="1"/>
    </xf>
    <xf numFmtId="0" fontId="2" fillId="5" borderId="4" xfId="0" applyFont="1" applyFill="1" applyBorder="1" applyAlignment="1">
      <alignment horizontal="left" vertical="center" indent="1"/>
    </xf>
    <xf numFmtId="0" fontId="2" fillId="5" borderId="5" xfId="0" applyFont="1" applyFill="1" applyBorder="1" applyAlignment="1">
      <alignment horizontal="left" vertical="center" indent="1"/>
    </xf>
    <xf numFmtId="0" fontId="49" fillId="7" borderId="79" xfId="0" applyFont="1" applyFill="1" applyBorder="1" applyAlignment="1">
      <alignment horizontal="left" vertical="center" indent="1"/>
    </xf>
    <xf numFmtId="0" fontId="2" fillId="5" borderId="80" xfId="0" applyFont="1" applyFill="1" applyBorder="1" applyAlignment="1">
      <alignment horizontal="left" vertical="center" indent="1"/>
    </xf>
    <xf numFmtId="3" fontId="2" fillId="5" borderId="80" xfId="0" applyNumberFormat="1" applyFont="1" applyFill="1" applyBorder="1" applyAlignment="1">
      <alignment horizontal="right" vertical="center" indent="1"/>
    </xf>
    <xf numFmtId="0" fontId="2" fillId="5" borderId="81" xfId="0" applyFont="1" applyFill="1" applyBorder="1" applyAlignment="1">
      <alignment horizontal="left" vertical="center" indent="1"/>
    </xf>
    <xf numFmtId="3" fontId="2" fillId="3" borderId="2" xfId="0" applyNumberFormat="1" applyFont="1" applyFill="1" applyBorder="1" applyAlignment="1">
      <alignment horizontal="right" vertical="center" indent="1"/>
    </xf>
    <xf numFmtId="0" fontId="2" fillId="2" borderId="26" xfId="0" applyFont="1" applyFill="1" applyBorder="1" applyAlignment="1">
      <alignment horizontal="left" vertical="center" indent="1"/>
    </xf>
    <xf numFmtId="0" fontId="12" fillId="0" borderId="32" xfId="3" applyFont="1" applyBorder="1"/>
    <xf numFmtId="0" fontId="2" fillId="0" borderId="32" xfId="0" applyFont="1" applyBorder="1" applyAlignment="1">
      <alignment horizontal="left" vertical="center" indent="1"/>
    </xf>
    <xf numFmtId="3" fontId="12" fillId="0" borderId="32" xfId="0" applyNumberFormat="1" applyFont="1" applyBorder="1" applyAlignment="1">
      <alignment horizontal="left" vertical="center" wrapText="1" indent="1"/>
    </xf>
    <xf numFmtId="49" fontId="12" fillId="0" borderId="32" xfId="0" applyNumberFormat="1" applyFont="1" applyBorder="1" applyAlignment="1">
      <alignment horizontal="left" vertical="center" wrapText="1" indent="1"/>
    </xf>
    <xf numFmtId="0" fontId="2" fillId="0" borderId="32" xfId="0" applyFont="1" applyBorder="1"/>
    <xf numFmtId="0" fontId="5" fillId="0" borderId="0" xfId="1" applyFont="1" applyAlignment="1">
      <alignment horizontal="left" vertical="center" indent="1"/>
    </xf>
    <xf numFmtId="9" fontId="3" fillId="3" borderId="82" xfId="0" applyNumberFormat="1" applyFont="1" applyFill="1" applyBorder="1" applyAlignment="1">
      <alignment horizontal="right" vertical="center" indent="1"/>
    </xf>
    <xf numFmtId="3" fontId="2" fillId="3" borderId="26" xfId="0" applyNumberFormat="1" applyFont="1" applyFill="1" applyBorder="1" applyAlignment="1">
      <alignment horizontal="right" vertical="center" indent="1"/>
    </xf>
    <xf numFmtId="0" fontId="2" fillId="2" borderId="75" xfId="0" applyFont="1" applyFill="1" applyBorder="1" applyAlignment="1">
      <alignment horizontal="left" vertical="center" indent="1"/>
    </xf>
    <xf numFmtId="0" fontId="2" fillId="2" borderId="74" xfId="0" applyFont="1" applyFill="1" applyBorder="1" applyAlignment="1">
      <alignment horizontal="left" vertical="center" indent="1"/>
    </xf>
    <xf numFmtId="0" fontId="20" fillId="0" borderId="0" xfId="1" applyFont="1" applyAlignment="1">
      <alignment horizontal="center" vertical="center"/>
    </xf>
    <xf numFmtId="9" fontId="50" fillId="9" borderId="16" xfId="9" applyFont="1" applyFill="1" applyBorder="1" applyAlignment="1">
      <alignment horizontal="right" vertical="center" indent="1"/>
    </xf>
    <xf numFmtId="0" fontId="26" fillId="7" borderId="6" xfId="0" applyFont="1" applyFill="1" applyBorder="1" applyAlignment="1">
      <alignment horizontal="center" vertical="center"/>
    </xf>
    <xf numFmtId="3" fontId="26" fillId="10" borderId="4" xfId="0" applyNumberFormat="1" applyFont="1" applyFill="1" applyBorder="1" applyAlignment="1">
      <alignment horizontal="right" vertical="center" indent="1"/>
    </xf>
    <xf numFmtId="3" fontId="26" fillId="10" borderId="6" xfId="0" applyNumberFormat="1" applyFont="1" applyFill="1" applyBorder="1" applyAlignment="1">
      <alignment horizontal="right" vertical="center" indent="1"/>
    </xf>
    <xf numFmtId="9" fontId="50" fillId="9" borderId="8" xfId="9" applyFont="1" applyFill="1" applyBorder="1" applyAlignment="1">
      <alignment horizontal="right" vertical="center" indent="1"/>
    </xf>
    <xf numFmtId="0" fontId="26" fillId="7" borderId="4" xfId="0" applyFont="1" applyFill="1" applyBorder="1" applyAlignment="1">
      <alignment horizontal="center" vertical="center"/>
    </xf>
    <xf numFmtId="9" fontId="50" fillId="9" borderId="21" xfId="9" applyFont="1" applyFill="1" applyBorder="1" applyAlignment="1">
      <alignment horizontal="right" vertical="center" indent="1"/>
    </xf>
    <xf numFmtId="0" fontId="26" fillId="7" borderId="1" xfId="0" applyFont="1" applyFill="1" applyBorder="1" applyAlignment="1">
      <alignment horizontal="center" vertical="center"/>
    </xf>
    <xf numFmtId="3" fontId="26" fillId="10" borderId="1" xfId="0" applyNumberFormat="1" applyFont="1" applyFill="1" applyBorder="1" applyAlignment="1">
      <alignment horizontal="right" vertical="center" indent="1"/>
    </xf>
    <xf numFmtId="0" fontId="26" fillId="7" borderId="35" xfId="0" applyFont="1" applyFill="1" applyBorder="1" applyAlignment="1">
      <alignment horizontal="center" vertical="center"/>
    </xf>
    <xf numFmtId="3" fontId="26" fillId="8" borderId="4" xfId="0" applyNumberFormat="1" applyFont="1" applyFill="1" applyBorder="1" applyAlignment="1">
      <alignment horizontal="right" vertical="center" indent="1"/>
    </xf>
    <xf numFmtId="3" fontId="26" fillId="8" borderId="6" xfId="0" applyNumberFormat="1" applyFont="1" applyFill="1" applyBorder="1" applyAlignment="1">
      <alignment horizontal="right" vertical="center" indent="1"/>
    </xf>
    <xf numFmtId="0" fontId="26" fillId="7" borderId="59" xfId="0" applyFont="1" applyFill="1" applyBorder="1" applyAlignment="1">
      <alignment horizontal="center" vertical="center"/>
    </xf>
    <xf numFmtId="0" fontId="26" fillId="7" borderId="36" xfId="0" applyFont="1" applyFill="1" applyBorder="1" applyAlignment="1">
      <alignment horizontal="center" vertical="center"/>
    </xf>
    <xf numFmtId="3" fontId="26" fillId="8" borderId="1" xfId="0" applyNumberFormat="1" applyFont="1" applyFill="1" applyBorder="1" applyAlignment="1">
      <alignment horizontal="right" vertical="center" indent="1"/>
    </xf>
    <xf numFmtId="0" fontId="2" fillId="0" borderId="0" xfId="3" applyFont="1" applyAlignment="1">
      <alignment horizontal="left" indent="1"/>
    </xf>
    <xf numFmtId="0" fontId="53" fillId="7" borderId="7" xfId="3" applyFont="1" applyFill="1" applyBorder="1" applyAlignment="1">
      <alignment horizontal="center" vertical="center" wrapText="1"/>
    </xf>
    <xf numFmtId="166" fontId="26" fillId="8" borderId="4" xfId="0" applyNumberFormat="1" applyFont="1" applyFill="1" applyBorder="1" applyAlignment="1">
      <alignment horizontal="right" vertical="center" indent="1"/>
    </xf>
    <xf numFmtId="0" fontId="53" fillId="7" borderId="5" xfId="3" applyFont="1" applyFill="1" applyBorder="1" applyAlignment="1">
      <alignment horizontal="center" vertical="center" wrapText="1"/>
    </xf>
    <xf numFmtId="0" fontId="53" fillId="7" borderId="2" xfId="3" applyFont="1" applyFill="1" applyBorder="1" applyAlignment="1">
      <alignment horizontal="center" vertical="center" wrapText="1"/>
    </xf>
    <xf numFmtId="0" fontId="53" fillId="7" borderId="2" xfId="3" applyFont="1" applyFill="1" applyBorder="1" applyAlignment="1">
      <alignment horizontal="center" vertical="center"/>
    </xf>
    <xf numFmtId="0" fontId="33" fillId="20" borderId="33" xfId="3" applyFont="1" applyFill="1" applyBorder="1" applyAlignment="1">
      <alignment horizontal="center" vertical="center"/>
    </xf>
    <xf numFmtId="0" fontId="2" fillId="7" borderId="65" xfId="3" applyFont="1" applyFill="1" applyBorder="1" applyAlignment="1">
      <alignment horizontal="center" vertical="center" wrapText="1"/>
    </xf>
    <xf numFmtId="0" fontId="2" fillId="7" borderId="5" xfId="3" applyFont="1" applyFill="1" applyBorder="1" applyAlignment="1">
      <alignment horizontal="center" vertical="center" wrapText="1"/>
    </xf>
    <xf numFmtId="0" fontId="26" fillId="7" borderId="65" xfId="3" applyFont="1" applyFill="1" applyBorder="1" applyAlignment="1">
      <alignment horizontal="center" vertical="center" wrapText="1"/>
    </xf>
    <xf numFmtId="0" fontId="26" fillId="7" borderId="5" xfId="3" applyFont="1" applyFill="1" applyBorder="1" applyAlignment="1">
      <alignment horizontal="center" vertical="center" wrapText="1"/>
    </xf>
    <xf numFmtId="0" fontId="2" fillId="7" borderId="5" xfId="3" applyFont="1" applyFill="1" applyBorder="1" applyAlignment="1">
      <alignment horizontal="center" vertical="center"/>
    </xf>
    <xf numFmtId="0" fontId="26" fillId="7" borderId="62" xfId="3" applyFont="1" applyFill="1" applyBorder="1" applyAlignment="1">
      <alignment horizontal="center" vertical="center" wrapText="1"/>
    </xf>
    <xf numFmtId="0" fontId="2" fillId="7" borderId="62" xfId="3" applyFont="1" applyFill="1" applyBorder="1" applyAlignment="1">
      <alignment horizontal="center" vertical="center" wrapText="1"/>
    </xf>
    <xf numFmtId="0" fontId="58" fillId="0" borderId="0" xfId="3" applyFont="1"/>
    <xf numFmtId="0" fontId="33" fillId="20" borderId="84" xfId="3" applyFont="1" applyFill="1" applyBorder="1" applyAlignment="1">
      <alignment horizontal="center" vertical="center"/>
    </xf>
    <xf numFmtId="0" fontId="26" fillId="7" borderId="65" xfId="3" applyFont="1" applyFill="1" applyBorder="1" applyAlignment="1">
      <alignment horizontal="center" vertical="center"/>
    </xf>
    <xf numFmtId="0" fontId="33" fillId="21" borderId="89" xfId="3" applyFont="1" applyFill="1" applyBorder="1" applyAlignment="1">
      <alignment horizontal="center" vertical="center" wrapText="1"/>
    </xf>
    <xf numFmtId="9" fontId="33" fillId="9" borderId="68" xfId="5" applyFont="1" applyFill="1" applyBorder="1" applyAlignment="1">
      <alignment horizontal="right" vertical="center" indent="1"/>
    </xf>
    <xf numFmtId="9" fontId="26" fillId="9" borderId="68" xfId="5" applyFont="1" applyFill="1" applyBorder="1" applyAlignment="1">
      <alignment horizontal="right" vertical="center" indent="1"/>
    </xf>
    <xf numFmtId="9" fontId="26" fillId="9" borderId="61" xfId="5" applyFont="1" applyFill="1" applyBorder="1" applyAlignment="1">
      <alignment horizontal="right" vertical="center" indent="1"/>
    </xf>
    <xf numFmtId="9" fontId="26" fillId="9" borderId="60" xfId="5" applyFont="1" applyFill="1" applyBorder="1" applyAlignment="1">
      <alignment horizontal="right" vertical="center" indent="1"/>
    </xf>
    <xf numFmtId="0" fontId="4" fillId="0" borderId="32" xfId="1" applyFont="1" applyBorder="1" applyAlignment="1">
      <alignment horizontal="center" vertical="center"/>
    </xf>
    <xf numFmtId="3" fontId="2" fillId="3" borderId="48" xfId="0" applyNumberFormat="1" applyFont="1" applyFill="1" applyBorder="1" applyAlignment="1">
      <alignment horizontal="right" vertical="center" indent="1"/>
    </xf>
    <xf numFmtId="3" fontId="2" fillId="3" borderId="3" xfId="0" applyNumberFormat="1" applyFont="1" applyFill="1" applyBorder="1" applyAlignment="1">
      <alignment horizontal="right" vertical="center" indent="1"/>
    </xf>
    <xf numFmtId="3" fontId="2" fillId="3" borderId="47" xfId="0" applyNumberFormat="1" applyFont="1" applyFill="1" applyBorder="1" applyAlignment="1">
      <alignment horizontal="right" vertical="center" indent="1"/>
    </xf>
    <xf numFmtId="0" fontId="2" fillId="2" borderId="50" xfId="0" applyFont="1" applyFill="1" applyBorder="1" applyAlignment="1">
      <alignment horizontal="left" vertical="center" indent="1"/>
    </xf>
    <xf numFmtId="9" fontId="26" fillId="9" borderId="61" xfId="9" applyFont="1" applyFill="1" applyBorder="1" applyAlignment="1">
      <alignment horizontal="right" vertical="center" indent="1"/>
    </xf>
    <xf numFmtId="9" fontId="26" fillId="7" borderId="14" xfId="0" applyNumberFormat="1" applyFont="1" applyFill="1" applyBorder="1" applyAlignment="1">
      <alignment horizontal="center" vertical="center"/>
    </xf>
    <xf numFmtId="0" fontId="26" fillId="7" borderId="5" xfId="0" applyFont="1" applyFill="1" applyBorder="1" applyAlignment="1">
      <alignment horizontal="center" vertical="center"/>
    </xf>
    <xf numFmtId="9" fontId="26" fillId="7" borderId="3" xfId="0" applyNumberFormat="1" applyFont="1" applyFill="1" applyBorder="1" applyAlignment="1">
      <alignment horizontal="center" vertical="center"/>
    </xf>
    <xf numFmtId="0" fontId="26" fillId="7" borderId="7" xfId="0" applyFont="1" applyFill="1" applyBorder="1" applyAlignment="1">
      <alignment horizontal="center" vertical="center"/>
    </xf>
    <xf numFmtId="3" fontId="26" fillId="10" borderId="48" xfId="0" applyNumberFormat="1" applyFont="1" applyFill="1" applyBorder="1" applyAlignment="1">
      <alignment horizontal="left" vertical="center"/>
    </xf>
    <xf numFmtId="3" fontId="26" fillId="10" borderId="3" xfId="0" applyNumberFormat="1" applyFont="1" applyFill="1" applyBorder="1" applyAlignment="1">
      <alignment horizontal="left" vertical="center"/>
    </xf>
    <xf numFmtId="9" fontId="26" fillId="9" borderId="60" xfId="9" applyFont="1" applyFill="1" applyBorder="1" applyAlignment="1">
      <alignment horizontal="right" vertical="center" indent="1"/>
    </xf>
    <xf numFmtId="9" fontId="26" fillId="7" borderId="19" xfId="0" applyNumberFormat="1" applyFont="1" applyFill="1" applyBorder="1" applyAlignment="1">
      <alignment horizontal="center" vertical="center"/>
    </xf>
    <xf numFmtId="0" fontId="26" fillId="7" borderId="2" xfId="0" applyFont="1" applyFill="1" applyBorder="1" applyAlignment="1">
      <alignment horizontal="center" vertical="center"/>
    </xf>
    <xf numFmtId="9" fontId="26" fillId="7" borderId="47" xfId="0" applyNumberFormat="1" applyFont="1" applyFill="1" applyBorder="1" applyAlignment="1">
      <alignment horizontal="center" vertical="center"/>
    </xf>
    <xf numFmtId="9" fontId="59" fillId="9" borderId="60" xfId="9" applyFont="1" applyFill="1" applyBorder="1" applyAlignment="1">
      <alignment horizontal="right" vertical="center" indent="1"/>
    </xf>
    <xf numFmtId="9" fontId="33" fillId="9" borderId="33" xfId="9" applyFont="1" applyFill="1" applyBorder="1" applyAlignment="1">
      <alignment horizontal="right" vertical="center" indent="1"/>
    </xf>
    <xf numFmtId="3" fontId="2" fillId="3" borderId="33" xfId="0" applyNumberFormat="1" applyFont="1" applyFill="1" applyBorder="1" applyAlignment="1">
      <alignment horizontal="right" vertical="center" indent="1"/>
    </xf>
    <xf numFmtId="9" fontId="26" fillId="9" borderId="66" xfId="9" applyFont="1" applyFill="1" applyBorder="1" applyAlignment="1">
      <alignment horizontal="right" vertical="center" indent="1"/>
    </xf>
    <xf numFmtId="3" fontId="26" fillId="7" borderId="9" xfId="0" applyNumberFormat="1" applyFont="1" applyFill="1" applyBorder="1" applyAlignment="1">
      <alignment horizontal="right" vertical="center" indent="1"/>
    </xf>
    <xf numFmtId="3" fontId="26" fillId="7" borderId="66" xfId="0" applyNumberFormat="1" applyFont="1" applyFill="1" applyBorder="1" applyAlignment="1">
      <alignment horizontal="right" vertical="center" indent="1"/>
    </xf>
    <xf numFmtId="0" fontId="26" fillId="7" borderId="9" xfId="0" applyFont="1" applyFill="1" applyBorder="1" applyAlignment="1">
      <alignment horizontal="center" vertical="center"/>
    </xf>
    <xf numFmtId="3" fontId="26" fillId="10" borderId="7" xfId="0" applyNumberFormat="1" applyFont="1" applyFill="1" applyBorder="1" applyAlignment="1">
      <alignment horizontal="right" vertical="center" indent="1"/>
    </xf>
    <xf numFmtId="3" fontId="26" fillId="7" borderId="61" xfId="0" applyNumberFormat="1" applyFont="1" applyFill="1" applyBorder="1" applyAlignment="1">
      <alignment horizontal="right" vertical="center" indent="1"/>
    </xf>
    <xf numFmtId="3" fontId="26" fillId="10" borderId="5" xfId="0" applyNumberFormat="1" applyFont="1" applyFill="1" applyBorder="1" applyAlignment="1">
      <alignment horizontal="right" vertical="center" indent="1"/>
    </xf>
    <xf numFmtId="3" fontId="26" fillId="7" borderId="22" xfId="0" applyNumberFormat="1" applyFont="1" applyFill="1" applyBorder="1" applyAlignment="1">
      <alignment horizontal="right" vertical="center" indent="1"/>
    </xf>
    <xf numFmtId="3" fontId="26" fillId="7" borderId="60" xfId="0" applyNumberFormat="1" applyFont="1" applyFill="1" applyBorder="1" applyAlignment="1">
      <alignment horizontal="right" vertical="center" indent="1"/>
    </xf>
    <xf numFmtId="0" fontId="26" fillId="7" borderId="22" xfId="0" applyFont="1" applyFill="1" applyBorder="1" applyAlignment="1">
      <alignment horizontal="center" vertical="center"/>
    </xf>
    <xf numFmtId="3" fontId="26" fillId="10" borderId="2" xfId="0" applyNumberFormat="1" applyFont="1" applyFill="1" applyBorder="1" applyAlignment="1">
      <alignment horizontal="right" vertical="center" indent="1"/>
    </xf>
    <xf numFmtId="9" fontId="19" fillId="3" borderId="90" xfId="1" applyNumberFormat="1" applyFont="1" applyFill="1" applyBorder="1" applyAlignment="1">
      <alignment horizontal="right" vertical="center" indent="1"/>
    </xf>
    <xf numFmtId="3" fontId="2" fillId="3" borderId="42" xfId="0" applyNumberFormat="1" applyFont="1" applyFill="1" applyBorder="1" applyAlignment="1">
      <alignment horizontal="right" vertical="center" indent="1"/>
    </xf>
    <xf numFmtId="9" fontId="26" fillId="9" borderId="31" xfId="9" applyFont="1" applyFill="1" applyBorder="1" applyAlignment="1">
      <alignment horizontal="right" vertical="center" indent="1"/>
    </xf>
    <xf numFmtId="9" fontId="26" fillId="9" borderId="32" xfId="9" applyFont="1" applyFill="1" applyBorder="1" applyAlignment="1">
      <alignment horizontal="right" vertical="center" indent="1"/>
    </xf>
    <xf numFmtId="0" fontId="26" fillId="7" borderId="14" xfId="0" applyFont="1" applyFill="1" applyBorder="1" applyAlignment="1">
      <alignment horizontal="center" vertical="center"/>
    </xf>
    <xf numFmtId="0" fontId="26" fillId="7" borderId="48" xfId="0" applyFont="1" applyFill="1" applyBorder="1" applyAlignment="1">
      <alignment horizontal="center" vertical="center"/>
    </xf>
    <xf numFmtId="0" fontId="26" fillId="7" borderId="20" xfId="0" applyFont="1" applyFill="1" applyBorder="1" applyAlignment="1">
      <alignment horizontal="center" vertical="center"/>
    </xf>
    <xf numFmtId="0" fontId="26" fillId="7" borderId="17" xfId="0" applyFont="1" applyFill="1" applyBorder="1" applyAlignment="1">
      <alignment horizontal="center" vertical="center"/>
    </xf>
    <xf numFmtId="0" fontId="26" fillId="7" borderId="68" xfId="0" applyFont="1" applyFill="1" applyBorder="1" applyAlignment="1">
      <alignment horizontal="center" vertical="center"/>
    </xf>
    <xf numFmtId="9" fontId="26" fillId="9" borderId="42" xfId="9" applyFont="1" applyFill="1" applyBorder="1" applyAlignment="1">
      <alignment horizontal="right" vertical="center" indent="1"/>
    </xf>
    <xf numFmtId="9" fontId="26" fillId="9" borderId="56" xfId="9" applyFont="1" applyFill="1" applyBorder="1" applyAlignment="1">
      <alignment horizontal="right" vertical="center" indent="1"/>
    </xf>
    <xf numFmtId="0" fontId="26" fillId="7" borderId="3" xfId="0" applyFont="1" applyFill="1" applyBorder="1" applyAlignment="1">
      <alignment horizontal="center" vertical="center"/>
    </xf>
    <xf numFmtId="0" fontId="26" fillId="7" borderId="61" xfId="0" applyFont="1" applyFill="1" applyBorder="1" applyAlignment="1">
      <alignment horizontal="center" vertical="center"/>
    </xf>
    <xf numFmtId="0" fontId="26" fillId="7" borderId="19" xfId="0" applyFont="1" applyFill="1" applyBorder="1" applyAlignment="1">
      <alignment horizontal="center" vertical="center"/>
    </xf>
    <xf numFmtId="0" fontId="26" fillId="7" borderId="47" xfId="0" applyFont="1" applyFill="1" applyBorder="1" applyAlignment="1">
      <alignment horizontal="center" vertical="center"/>
    </xf>
    <xf numFmtId="0" fontId="26" fillId="7" borderId="60" xfId="0" applyFont="1" applyFill="1" applyBorder="1" applyAlignment="1">
      <alignment horizontal="center" vertical="center"/>
    </xf>
    <xf numFmtId="9" fontId="33" fillId="9" borderId="68" xfId="9" applyFont="1" applyFill="1" applyBorder="1" applyAlignment="1">
      <alignment horizontal="right" vertical="center" indent="1"/>
    </xf>
    <xf numFmtId="9" fontId="26" fillId="9" borderId="68" xfId="9" applyFont="1" applyFill="1" applyBorder="1" applyAlignment="1">
      <alignment horizontal="right" vertical="center" indent="1"/>
    </xf>
    <xf numFmtId="0" fontId="26" fillId="7" borderId="18"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8" xfId="0" applyFont="1" applyFill="1" applyBorder="1" applyAlignment="1">
      <alignment horizontal="center" vertical="center"/>
    </xf>
    <xf numFmtId="0" fontId="26" fillId="7" borderId="23" xfId="0" applyFont="1" applyFill="1" applyBorder="1" applyAlignment="1">
      <alignment horizontal="center" vertical="center"/>
    </xf>
    <xf numFmtId="0" fontId="26" fillId="7" borderId="21" xfId="0" applyFont="1" applyFill="1" applyBorder="1" applyAlignment="1">
      <alignment horizontal="center" vertical="center"/>
    </xf>
    <xf numFmtId="9" fontId="61" fillId="9" borderId="33" xfId="9" applyFont="1" applyFill="1" applyBorder="1" applyAlignment="1">
      <alignment horizontal="right" vertical="center" indent="1"/>
    </xf>
    <xf numFmtId="9" fontId="26" fillId="9" borderId="23" xfId="9" applyFont="1" applyFill="1" applyBorder="1" applyAlignment="1">
      <alignment horizontal="right" vertical="center" indent="1"/>
    </xf>
    <xf numFmtId="9" fontId="26" fillId="9" borderId="83" xfId="9" applyFont="1" applyFill="1" applyBorder="1" applyAlignment="1">
      <alignment horizontal="right" vertical="center" indent="1"/>
    </xf>
    <xf numFmtId="9" fontId="3" fillId="3" borderId="33" xfId="1" applyNumberFormat="1" applyFont="1" applyFill="1" applyBorder="1" applyAlignment="1">
      <alignment horizontal="right" vertical="center" indent="1"/>
    </xf>
    <xf numFmtId="9" fontId="26" fillId="9" borderId="35" xfId="9" applyFont="1" applyFill="1" applyBorder="1" applyAlignment="1">
      <alignment horizontal="right" vertical="center" indent="1"/>
    </xf>
    <xf numFmtId="0" fontId="26" fillId="7" borderId="6" xfId="0" applyFont="1" applyFill="1" applyBorder="1" applyAlignment="1">
      <alignment horizontal="right" vertical="center" indent="1"/>
    </xf>
    <xf numFmtId="9" fontId="26" fillId="9" borderId="59" xfId="9" applyFont="1" applyFill="1" applyBorder="1" applyAlignment="1">
      <alignment horizontal="right" vertical="center" indent="1"/>
    </xf>
    <xf numFmtId="0" fontId="26" fillId="7" borderId="4" xfId="0" applyFont="1" applyFill="1" applyBorder="1" applyAlignment="1">
      <alignment horizontal="right" vertical="center" indent="1"/>
    </xf>
    <xf numFmtId="9" fontId="26" fillId="9" borderId="36" xfId="9" applyFont="1" applyFill="1" applyBorder="1" applyAlignment="1">
      <alignment horizontal="right" vertical="center" indent="1"/>
    </xf>
    <xf numFmtId="0" fontId="26" fillId="7" borderId="1" xfId="0" applyFont="1" applyFill="1" applyBorder="1" applyAlignment="1">
      <alignment horizontal="right" vertical="center" indent="1"/>
    </xf>
    <xf numFmtId="9" fontId="3" fillId="3" borderId="0" xfId="1" applyNumberFormat="1" applyFont="1" applyFill="1" applyAlignment="1">
      <alignment horizontal="right" vertical="center" indent="1"/>
    </xf>
    <xf numFmtId="0" fontId="2" fillId="5" borderId="26" xfId="1" applyFont="1" applyFill="1" applyBorder="1" applyAlignment="1">
      <alignment horizontal="right" vertical="center" indent="1"/>
    </xf>
    <xf numFmtId="0" fontId="2" fillId="5" borderId="75" xfId="1" applyFont="1" applyFill="1" applyBorder="1" applyAlignment="1">
      <alignment horizontal="right" vertical="center" indent="1"/>
    </xf>
    <xf numFmtId="0" fontId="2" fillId="5" borderId="74" xfId="1" applyFont="1" applyFill="1" applyBorder="1" applyAlignment="1">
      <alignment horizontal="right" vertical="center" indent="1"/>
    </xf>
    <xf numFmtId="0" fontId="2" fillId="0" borderId="24" xfId="1" applyFont="1" applyBorder="1"/>
    <xf numFmtId="0" fontId="2" fillId="6" borderId="25" xfId="1" applyFont="1" applyFill="1" applyBorder="1" applyAlignment="1">
      <alignment horizontal="right" vertical="center" indent="1"/>
    </xf>
    <xf numFmtId="0" fontId="2" fillId="6" borderId="37" xfId="1" applyFont="1" applyFill="1" applyBorder="1" applyAlignment="1">
      <alignment horizontal="right" vertical="center" indent="1"/>
    </xf>
    <xf numFmtId="0" fontId="2" fillId="6" borderId="70" xfId="1" applyFont="1" applyFill="1" applyBorder="1" applyAlignment="1">
      <alignment horizontal="right" vertical="center" indent="1"/>
    </xf>
    <xf numFmtId="3" fontId="2" fillId="3" borderId="50" xfId="0" applyNumberFormat="1" applyFont="1" applyFill="1" applyBorder="1" applyAlignment="1">
      <alignment horizontal="right" vertical="center" indent="1"/>
    </xf>
    <xf numFmtId="0" fontId="26" fillId="7" borderId="18" xfId="3" applyFont="1" applyFill="1" applyBorder="1" applyAlignment="1">
      <alignment horizontal="center" vertical="center"/>
    </xf>
    <xf numFmtId="0" fontId="26" fillId="7" borderId="16" xfId="3" applyFont="1" applyFill="1" applyBorder="1" applyAlignment="1">
      <alignment horizontal="center" vertical="center"/>
    </xf>
    <xf numFmtId="0" fontId="26" fillId="7" borderId="68" xfId="3" applyFont="1" applyFill="1" applyBorder="1" applyAlignment="1">
      <alignment horizontal="center" vertical="center"/>
    </xf>
    <xf numFmtId="0" fontId="26" fillId="7" borderId="17" xfId="3" applyFont="1" applyFill="1" applyBorder="1" applyAlignment="1">
      <alignment horizontal="center" vertical="center"/>
    </xf>
    <xf numFmtId="0" fontId="26" fillId="7" borderId="10" xfId="3" applyFont="1" applyFill="1" applyBorder="1" applyAlignment="1">
      <alignment horizontal="center" vertical="center"/>
    </xf>
    <xf numFmtId="0" fontId="26" fillId="7" borderId="8" xfId="3" applyFont="1" applyFill="1" applyBorder="1" applyAlignment="1">
      <alignment horizontal="center" vertical="center"/>
    </xf>
    <xf numFmtId="0" fontId="26" fillId="7" borderId="61" xfId="3" applyFont="1" applyFill="1" applyBorder="1" applyAlignment="1">
      <alignment horizontal="center" vertical="center"/>
    </xf>
    <xf numFmtId="0" fontId="26" fillId="7" borderId="9" xfId="3" applyFont="1" applyFill="1" applyBorder="1" applyAlignment="1">
      <alignment horizontal="center" vertical="center"/>
    </xf>
    <xf numFmtId="0" fontId="26" fillId="7" borderId="42" xfId="3" applyFont="1" applyFill="1" applyBorder="1" applyAlignment="1">
      <alignment horizontal="center" vertical="center"/>
    </xf>
    <xf numFmtId="9" fontId="26" fillId="9" borderId="99" xfId="5" applyFont="1" applyFill="1" applyBorder="1" applyAlignment="1">
      <alignment horizontal="right" vertical="center" indent="1"/>
    </xf>
    <xf numFmtId="0" fontId="26" fillId="7" borderId="23" xfId="3" applyFont="1" applyFill="1" applyBorder="1" applyAlignment="1">
      <alignment horizontal="center" vertical="center"/>
    </xf>
    <xf numFmtId="0" fontId="26" fillId="7" borderId="21" xfId="3" applyFont="1" applyFill="1" applyBorder="1" applyAlignment="1">
      <alignment horizontal="center" vertical="center"/>
    </xf>
    <xf numFmtId="0" fontId="26" fillId="7" borderId="60" xfId="3" applyFont="1" applyFill="1" applyBorder="1" applyAlignment="1">
      <alignment horizontal="center" vertical="center"/>
    </xf>
    <xf numFmtId="0" fontId="26" fillId="7" borderId="22" xfId="3" applyFont="1" applyFill="1" applyBorder="1" applyAlignment="1">
      <alignment horizontal="center" vertical="center"/>
    </xf>
    <xf numFmtId="9" fontId="61" fillId="9" borderId="33" xfId="5" applyFont="1" applyFill="1" applyBorder="1" applyAlignment="1">
      <alignment horizontal="right" vertical="center" indent="1"/>
    </xf>
    <xf numFmtId="0" fontId="4" fillId="2" borderId="0" xfId="1" applyFont="1" applyFill="1" applyAlignment="1">
      <alignment horizontal="left" vertical="center" indent="1"/>
    </xf>
    <xf numFmtId="0" fontId="4" fillId="3" borderId="0" xfId="1" applyFont="1" applyFill="1" applyAlignment="1">
      <alignment horizontal="right" vertical="center" indent="1"/>
    </xf>
    <xf numFmtId="0" fontId="26" fillId="7" borderId="35" xfId="3" applyFont="1" applyFill="1" applyBorder="1" applyAlignment="1">
      <alignment horizontal="center" vertical="center"/>
    </xf>
    <xf numFmtId="0" fontId="26" fillId="7" borderId="59" xfId="3" applyFont="1" applyFill="1" applyBorder="1" applyAlignment="1">
      <alignment horizontal="center" vertical="center"/>
    </xf>
    <xf numFmtId="0" fontId="26" fillId="7" borderId="36" xfId="3" applyFont="1" applyFill="1" applyBorder="1" applyAlignment="1">
      <alignment horizontal="center" vertical="center"/>
    </xf>
    <xf numFmtId="9" fontId="3" fillId="3" borderId="33" xfId="0" applyNumberFormat="1" applyFont="1" applyFill="1" applyBorder="1" applyAlignment="1">
      <alignment horizontal="right" vertical="center" indent="1"/>
    </xf>
    <xf numFmtId="9" fontId="26" fillId="9" borderId="68" xfId="0" applyNumberFormat="1" applyFont="1" applyFill="1" applyBorder="1" applyAlignment="1">
      <alignment horizontal="right" vertical="center" indent="1"/>
    </xf>
    <xf numFmtId="0" fontId="26" fillId="7" borderId="16" xfId="0" applyFont="1" applyFill="1" applyBorder="1" applyAlignment="1">
      <alignment horizontal="right" vertical="center" indent="1"/>
    </xf>
    <xf numFmtId="0" fontId="26" fillId="7" borderId="35" xfId="0" applyFont="1" applyFill="1" applyBorder="1" applyAlignment="1">
      <alignment horizontal="right" vertical="center" indent="1"/>
    </xf>
    <xf numFmtId="0" fontId="26" fillId="7" borderId="48" xfId="0" applyFont="1" applyFill="1" applyBorder="1" applyAlignment="1">
      <alignment horizontal="right" vertical="center" indent="1"/>
    </xf>
    <xf numFmtId="3" fontId="26" fillId="7" borderId="48" xfId="0" applyNumberFormat="1" applyFont="1" applyFill="1" applyBorder="1" applyAlignment="1">
      <alignment horizontal="right" vertical="center" indent="1"/>
    </xf>
    <xf numFmtId="9" fontId="26" fillId="9" borderId="61" xfId="0" applyNumberFormat="1" applyFont="1" applyFill="1" applyBorder="1" applyAlignment="1">
      <alignment horizontal="right" vertical="center" indent="1"/>
    </xf>
    <xf numFmtId="0" fontId="26" fillId="7" borderId="8" xfId="0" applyFont="1" applyFill="1" applyBorder="1" applyAlignment="1">
      <alignment horizontal="right" vertical="center" indent="1"/>
    </xf>
    <xf numFmtId="0" fontId="26" fillId="7" borderId="59" xfId="0" applyFont="1" applyFill="1" applyBorder="1" applyAlignment="1">
      <alignment horizontal="right" vertical="center" indent="1"/>
    </xf>
    <xf numFmtId="0" fontId="26" fillId="7" borderId="3" xfId="0" applyFont="1" applyFill="1" applyBorder="1" applyAlignment="1">
      <alignment horizontal="right" vertical="center" indent="1"/>
    </xf>
    <xf numFmtId="3" fontId="26" fillId="7" borderId="3" xfId="0" applyNumberFormat="1" applyFont="1" applyFill="1" applyBorder="1" applyAlignment="1">
      <alignment horizontal="right" vertical="center" indent="1"/>
    </xf>
    <xf numFmtId="9" fontId="26" fillId="9" borderId="60" xfId="0" applyNumberFormat="1" applyFont="1" applyFill="1" applyBorder="1" applyAlignment="1">
      <alignment horizontal="right" vertical="center" indent="1"/>
    </xf>
    <xf numFmtId="0" fontId="26" fillId="7" borderId="21" xfId="0" applyFont="1" applyFill="1" applyBorder="1" applyAlignment="1">
      <alignment horizontal="right" vertical="center" indent="1"/>
    </xf>
    <xf numFmtId="0" fontId="26" fillId="7" borderId="36" xfId="0" applyFont="1" applyFill="1" applyBorder="1" applyAlignment="1">
      <alignment horizontal="right" vertical="center" indent="1"/>
    </xf>
    <xf numFmtId="0" fontId="26" fillId="7" borderId="47" xfId="0" applyFont="1" applyFill="1" applyBorder="1" applyAlignment="1">
      <alignment horizontal="right" vertical="center" indent="1"/>
    </xf>
    <xf numFmtId="3" fontId="26" fillId="7" borderId="47" xfId="0" applyNumberFormat="1" applyFont="1" applyFill="1" applyBorder="1" applyAlignment="1">
      <alignment horizontal="right" vertical="center" indent="1"/>
    </xf>
    <xf numFmtId="9" fontId="3" fillId="3" borderId="44" xfId="0" applyNumberFormat="1" applyFont="1" applyFill="1" applyBorder="1" applyAlignment="1">
      <alignment horizontal="right" vertical="center" indent="1"/>
    </xf>
    <xf numFmtId="3" fontId="26" fillId="7" borderId="6" xfId="0" applyNumberFormat="1" applyFont="1" applyFill="1" applyBorder="1" applyAlignment="1">
      <alignment horizontal="right" vertical="center" indent="1"/>
    </xf>
    <xf numFmtId="0" fontId="26" fillId="7" borderId="4" xfId="0" applyFont="1" applyFill="1" applyBorder="1" applyAlignment="1">
      <alignment horizontal="left" vertical="center" indent="1"/>
    </xf>
    <xf numFmtId="3" fontId="26" fillId="7" borderId="4" xfId="0" applyNumberFormat="1" applyFont="1" applyFill="1" applyBorder="1" applyAlignment="1">
      <alignment horizontal="right" vertical="center" indent="1"/>
    </xf>
    <xf numFmtId="3" fontId="26" fillId="7" borderId="1" xfId="0" applyNumberFormat="1" applyFont="1" applyFill="1" applyBorder="1" applyAlignment="1">
      <alignment horizontal="right" vertical="center" indent="1"/>
    </xf>
    <xf numFmtId="0" fontId="26" fillId="7" borderId="20" xfId="0" applyFont="1" applyFill="1" applyBorder="1" applyAlignment="1">
      <alignment horizontal="left" vertical="center" indent="1"/>
    </xf>
    <xf numFmtId="0" fontId="26" fillId="7" borderId="14" xfId="0" applyFont="1" applyFill="1" applyBorder="1" applyAlignment="1">
      <alignment horizontal="left" vertical="center" indent="1"/>
    </xf>
    <xf numFmtId="0" fontId="26" fillId="7" borderId="19" xfId="0" applyFont="1" applyFill="1" applyBorder="1" applyAlignment="1">
      <alignment horizontal="left" vertical="center" indent="1"/>
    </xf>
    <xf numFmtId="3" fontId="4" fillId="3" borderId="33" xfId="1" applyNumberFormat="1" applyFont="1" applyFill="1" applyBorder="1" applyAlignment="1">
      <alignment horizontal="right" vertical="center" indent="1"/>
    </xf>
    <xf numFmtId="0" fontId="4" fillId="2" borderId="33" xfId="1" applyFont="1" applyFill="1" applyBorder="1" applyAlignment="1">
      <alignment horizontal="right" vertical="center" indent="1"/>
    </xf>
    <xf numFmtId="9" fontId="59" fillId="9" borderId="36" xfId="9" applyFont="1" applyFill="1" applyBorder="1" applyAlignment="1">
      <alignment horizontal="right" vertical="center" indent="1"/>
    </xf>
    <xf numFmtId="3" fontId="59" fillId="7" borderId="6" xfId="0" applyNumberFormat="1" applyFont="1" applyFill="1" applyBorder="1" applyAlignment="1">
      <alignment horizontal="right" vertical="center" indent="1"/>
    </xf>
    <xf numFmtId="3" fontId="59" fillId="7" borderId="4" xfId="0" applyNumberFormat="1" applyFont="1" applyFill="1" applyBorder="1" applyAlignment="1">
      <alignment horizontal="right" vertical="center" indent="1"/>
    </xf>
    <xf numFmtId="3" fontId="59" fillId="7" borderId="1" xfId="0" applyNumberFormat="1" applyFont="1" applyFill="1" applyBorder="1" applyAlignment="1">
      <alignment horizontal="right" vertical="center" indent="1"/>
    </xf>
    <xf numFmtId="9" fontId="17" fillId="3" borderId="51" xfId="1" applyNumberFormat="1" applyFont="1" applyFill="1" applyBorder="1" applyAlignment="1">
      <alignment horizontal="center" vertical="center"/>
    </xf>
    <xf numFmtId="9" fontId="50" fillId="9" borderId="6" xfId="9" applyFont="1" applyFill="1" applyBorder="1" applyAlignment="1">
      <alignment horizontal="right" vertical="center" indent="1"/>
    </xf>
    <xf numFmtId="0" fontId="26" fillId="9" borderId="1" xfId="0" applyFont="1" applyFill="1" applyBorder="1" applyAlignment="1">
      <alignment horizontal="left" vertical="center" indent="1"/>
    </xf>
    <xf numFmtId="9" fontId="50" fillId="9" borderId="4" xfId="9" applyFont="1" applyFill="1" applyBorder="1" applyAlignment="1">
      <alignment horizontal="right" vertical="center" indent="1"/>
    </xf>
    <xf numFmtId="9" fontId="50" fillId="9" borderId="1" xfId="9" applyFont="1" applyFill="1" applyBorder="1" applyAlignment="1">
      <alignment horizontal="right" vertical="center" indent="1"/>
    </xf>
    <xf numFmtId="3" fontId="2" fillId="3" borderId="33" xfId="1" applyNumberFormat="1" applyFont="1" applyFill="1" applyBorder="1" applyAlignment="1">
      <alignment horizontal="right" vertical="center" indent="1"/>
    </xf>
    <xf numFmtId="0" fontId="26" fillId="7" borderId="6" xfId="0" applyFont="1" applyFill="1" applyBorder="1" applyAlignment="1">
      <alignment horizontal="left" vertical="center" indent="1"/>
    </xf>
    <xf numFmtId="0" fontId="26" fillId="7" borderId="1" xfId="0" applyFont="1" applyFill="1" applyBorder="1" applyAlignment="1">
      <alignment horizontal="left" vertical="center" indent="1"/>
    </xf>
    <xf numFmtId="0" fontId="26" fillId="7" borderId="35" xfId="0" applyFont="1" applyFill="1" applyBorder="1" applyAlignment="1">
      <alignment horizontal="left" vertical="center" indent="1"/>
    </xf>
    <xf numFmtId="0" fontId="26" fillId="7" borderId="48" xfId="0" applyFont="1" applyFill="1" applyBorder="1" applyAlignment="1">
      <alignment horizontal="left" vertical="center" indent="1"/>
    </xf>
    <xf numFmtId="0" fontId="26" fillId="7" borderId="68" xfId="0" applyFont="1" applyFill="1" applyBorder="1" applyAlignment="1">
      <alignment horizontal="left" vertical="center" indent="1"/>
    </xf>
    <xf numFmtId="3" fontId="26" fillId="7" borderId="68" xfId="0" applyNumberFormat="1" applyFont="1" applyFill="1" applyBorder="1" applyAlignment="1">
      <alignment horizontal="right" vertical="center" indent="1"/>
    </xf>
    <xf numFmtId="0" fontId="26" fillId="7" borderId="59" xfId="0" applyFont="1" applyFill="1" applyBorder="1" applyAlignment="1">
      <alignment horizontal="left" vertical="center" indent="1"/>
    </xf>
    <xf numFmtId="0" fontId="26" fillId="7" borderId="3" xfId="0" applyFont="1" applyFill="1" applyBorder="1" applyAlignment="1">
      <alignment horizontal="left" vertical="center" indent="1"/>
    </xf>
    <xf numFmtId="0" fontId="26" fillId="7" borderId="61" xfId="0" applyFont="1" applyFill="1" applyBorder="1" applyAlignment="1">
      <alignment horizontal="left" vertical="center" indent="1"/>
    </xf>
    <xf numFmtId="0" fontId="26" fillId="7" borderId="111" xfId="0" applyFont="1" applyFill="1" applyBorder="1" applyAlignment="1">
      <alignment horizontal="left" vertical="center" indent="1"/>
    </xf>
    <xf numFmtId="0" fontId="26" fillId="7" borderId="87" xfId="0" applyFont="1" applyFill="1" applyBorder="1" applyAlignment="1">
      <alignment horizontal="left" vertical="center" indent="1"/>
    </xf>
    <xf numFmtId="0" fontId="26" fillId="7" borderId="88" xfId="0" applyFont="1" applyFill="1" applyBorder="1" applyAlignment="1">
      <alignment horizontal="left" vertical="center" indent="1"/>
    </xf>
    <xf numFmtId="0" fontId="26" fillId="7" borderId="98" xfId="0" applyFont="1" applyFill="1" applyBorder="1" applyAlignment="1">
      <alignment horizontal="left" vertical="center" indent="1"/>
    </xf>
    <xf numFmtId="0" fontId="26" fillId="7" borderId="42" xfId="0" applyFont="1" applyFill="1" applyBorder="1" applyAlignment="1">
      <alignment horizontal="left" vertical="center" indent="1"/>
    </xf>
    <xf numFmtId="3" fontId="26" fillId="7" borderId="42" xfId="0" applyNumberFormat="1" applyFont="1" applyFill="1" applyBorder="1" applyAlignment="1">
      <alignment horizontal="right" vertical="center" indent="1"/>
    </xf>
    <xf numFmtId="9" fontId="21" fillId="3" borderId="33" xfId="0" applyNumberFormat="1" applyFont="1" applyFill="1" applyBorder="1" applyAlignment="1">
      <alignment horizontal="right" vertical="center" indent="1"/>
    </xf>
    <xf numFmtId="0" fontId="58" fillId="5" borderId="18" xfId="0" applyFont="1" applyFill="1" applyBorder="1" applyAlignment="1">
      <alignment horizontal="left" vertical="center" indent="1"/>
    </xf>
    <xf numFmtId="0" fontId="58" fillId="5" borderId="17" xfId="0" applyFont="1" applyFill="1" applyBorder="1" applyAlignment="1">
      <alignment horizontal="left" vertical="center" indent="1"/>
    </xf>
    <xf numFmtId="9" fontId="26" fillId="9" borderId="7" xfId="9" applyFont="1" applyFill="1" applyBorder="1" applyAlignment="1">
      <alignment horizontal="right" vertical="center" indent="1"/>
    </xf>
    <xf numFmtId="9" fontId="2" fillId="9" borderId="59" xfId="0" applyNumberFormat="1" applyFont="1" applyFill="1" applyBorder="1" applyAlignment="1">
      <alignment horizontal="right" vertical="center" indent="1"/>
    </xf>
    <xf numFmtId="3" fontId="26" fillId="9" borderId="6" xfId="0" applyNumberFormat="1" applyFont="1" applyFill="1" applyBorder="1" applyAlignment="1">
      <alignment horizontal="right" vertical="center" indent="1"/>
    </xf>
    <xf numFmtId="0" fontId="58" fillId="5" borderId="10" xfId="0" applyFont="1" applyFill="1" applyBorder="1" applyAlignment="1">
      <alignment horizontal="left" vertical="center" indent="1"/>
    </xf>
    <xf numFmtId="0" fontId="58" fillId="5" borderId="9" xfId="0" applyFont="1" applyFill="1" applyBorder="1" applyAlignment="1">
      <alignment horizontal="left" vertical="center" indent="1"/>
    </xf>
    <xf numFmtId="9" fontId="26" fillId="9" borderId="5" xfId="9" applyFont="1" applyFill="1" applyBorder="1" applyAlignment="1">
      <alignment horizontal="right" vertical="center" indent="1"/>
    </xf>
    <xf numFmtId="3" fontId="26" fillId="9" borderId="4" xfId="0" applyNumberFormat="1" applyFont="1" applyFill="1" applyBorder="1" applyAlignment="1">
      <alignment horizontal="right" vertical="center" indent="1"/>
    </xf>
    <xf numFmtId="0" fontId="58" fillId="5" borderId="23" xfId="0" applyFont="1" applyFill="1" applyBorder="1" applyAlignment="1">
      <alignment horizontal="left" vertical="center" indent="1"/>
    </xf>
    <xf numFmtId="0" fontId="58" fillId="5" borderId="22" xfId="0" applyFont="1" applyFill="1" applyBorder="1" applyAlignment="1">
      <alignment horizontal="left" vertical="center" indent="1"/>
    </xf>
    <xf numFmtId="9" fontId="26" fillId="9" borderId="2" xfId="9" applyFont="1" applyFill="1" applyBorder="1" applyAlignment="1" applyProtection="1">
      <alignment horizontal="right" vertical="center" indent="1"/>
      <protection locked="0"/>
    </xf>
    <xf numFmtId="9" fontId="2" fillId="9" borderId="36" xfId="0" applyNumberFormat="1" applyFont="1" applyFill="1" applyBorder="1" applyAlignment="1">
      <alignment horizontal="right" vertical="center" indent="1"/>
    </xf>
    <xf numFmtId="3" fontId="26" fillId="9" borderId="1" xfId="0" applyNumberFormat="1" applyFont="1" applyFill="1" applyBorder="1" applyAlignment="1">
      <alignment horizontal="right" vertical="center" indent="1"/>
    </xf>
    <xf numFmtId="9" fontId="19" fillId="3" borderId="90" xfId="0" applyNumberFormat="1" applyFont="1" applyFill="1" applyBorder="1" applyAlignment="1">
      <alignment horizontal="right" vertical="center" indent="1"/>
    </xf>
    <xf numFmtId="3" fontId="4" fillId="3" borderId="50" xfId="0" applyNumberFormat="1" applyFont="1" applyFill="1" applyBorder="1" applyAlignment="1">
      <alignment horizontal="right" vertical="center" indent="1"/>
    </xf>
    <xf numFmtId="9" fontId="12" fillId="3" borderId="59" xfId="0" applyNumberFormat="1" applyFont="1" applyFill="1" applyBorder="1" applyAlignment="1">
      <alignment horizontal="right" vertical="center" indent="1"/>
    </xf>
    <xf numFmtId="9" fontId="26" fillId="3" borderId="59" xfId="0" applyNumberFormat="1" applyFont="1" applyFill="1" applyBorder="1" applyAlignment="1">
      <alignment horizontal="right" vertical="center" indent="1"/>
    </xf>
    <xf numFmtId="9" fontId="26" fillId="3" borderId="36" xfId="0" applyNumberFormat="1" applyFont="1" applyFill="1" applyBorder="1" applyAlignment="1">
      <alignment horizontal="right" vertical="center" indent="1"/>
    </xf>
    <xf numFmtId="0" fontId="4" fillId="0" borderId="27" xfId="1" applyFont="1" applyBorder="1"/>
    <xf numFmtId="0" fontId="63" fillId="11" borderId="110" xfId="1" applyFont="1" applyFill="1" applyBorder="1" applyAlignment="1">
      <alignment horizontal="left" vertical="center" indent="1"/>
    </xf>
    <xf numFmtId="0" fontId="63" fillId="11" borderId="108" xfId="1" applyFont="1" applyFill="1" applyBorder="1" applyAlignment="1">
      <alignment horizontal="left" vertical="center" indent="1"/>
    </xf>
    <xf numFmtId="0" fontId="63" fillId="11" borderId="109" xfId="1" applyFont="1" applyFill="1" applyBorder="1" applyAlignment="1">
      <alignment horizontal="left" vertical="center" indent="1"/>
    </xf>
    <xf numFmtId="0" fontId="24" fillId="2" borderId="44" xfId="1" applyFont="1" applyFill="1" applyBorder="1" applyAlignment="1">
      <alignment horizontal="left" vertical="center" wrapText="1" indent="1"/>
    </xf>
    <xf numFmtId="0" fontId="64" fillId="2" borderId="58" xfId="1" applyFont="1" applyFill="1" applyBorder="1" applyAlignment="1">
      <alignment horizontal="right" vertical="center" wrapText="1" indent="1"/>
    </xf>
    <xf numFmtId="0" fontId="13" fillId="2" borderId="44" xfId="1" applyFont="1" applyFill="1" applyBorder="1" applyAlignment="1">
      <alignment horizontal="left" vertical="center" wrapText="1" indent="1"/>
    </xf>
    <xf numFmtId="0" fontId="22" fillId="2" borderId="58" xfId="1" applyFont="1" applyFill="1" applyBorder="1" applyAlignment="1">
      <alignment horizontal="right" vertical="center" wrapText="1" indent="1"/>
    </xf>
    <xf numFmtId="0" fontId="13" fillId="2" borderId="90" xfId="1" applyFont="1" applyFill="1" applyBorder="1" applyAlignment="1">
      <alignment horizontal="left" vertical="center" wrapText="1" indent="1"/>
    </xf>
    <xf numFmtId="0" fontId="22" fillId="2" borderId="34" xfId="1" applyFont="1" applyFill="1" applyBorder="1" applyAlignment="1">
      <alignment horizontal="right" vertical="center" wrapText="1" indent="1"/>
    </xf>
    <xf numFmtId="0" fontId="22" fillId="2" borderId="33" xfId="1" applyFont="1" applyFill="1" applyBorder="1" applyAlignment="1">
      <alignment horizontal="center" vertical="center" wrapText="1"/>
    </xf>
    <xf numFmtId="0" fontId="13" fillId="2" borderId="33" xfId="1" applyFont="1" applyFill="1" applyBorder="1" applyAlignment="1">
      <alignment horizontal="left" vertical="center" wrapText="1" indent="1"/>
    </xf>
    <xf numFmtId="0" fontId="13" fillId="2" borderId="43" xfId="1" applyFont="1" applyFill="1" applyBorder="1" applyAlignment="1">
      <alignment horizontal="left" vertical="center" wrapText="1" indent="1"/>
    </xf>
    <xf numFmtId="0" fontId="13" fillId="2" borderId="58" xfId="1" applyFont="1" applyFill="1" applyBorder="1" applyAlignment="1">
      <alignment horizontal="left" vertical="center" wrapText="1" indent="1"/>
    </xf>
    <xf numFmtId="0" fontId="13" fillId="2" borderId="37" xfId="1" applyFont="1" applyFill="1" applyBorder="1" applyAlignment="1">
      <alignment horizontal="left" vertical="center" wrapText="1" indent="1"/>
    </xf>
    <xf numFmtId="0" fontId="51" fillId="2" borderId="37" xfId="1" applyFont="1" applyFill="1" applyBorder="1" applyAlignment="1">
      <alignment horizontal="left" vertical="center" wrapText="1" indent="1"/>
    </xf>
    <xf numFmtId="0" fontId="22" fillId="2" borderId="37" xfId="1" applyFont="1" applyFill="1" applyBorder="1" applyAlignment="1">
      <alignment horizontal="right" vertical="center" wrapText="1" indent="1"/>
    </xf>
    <xf numFmtId="0" fontId="13" fillId="2" borderId="104" xfId="1" applyFont="1" applyFill="1" applyBorder="1" applyAlignment="1">
      <alignment horizontal="left" vertical="center" wrapText="1" indent="1"/>
    </xf>
    <xf numFmtId="0" fontId="13" fillId="2" borderId="90" xfId="1" applyFont="1" applyFill="1" applyBorder="1" applyAlignment="1">
      <alignment horizontal="right" vertical="center" wrapText="1" indent="1"/>
    </xf>
    <xf numFmtId="0" fontId="51" fillId="2" borderId="44" xfId="1" applyFont="1" applyFill="1" applyBorder="1" applyAlignment="1">
      <alignment horizontal="left" vertical="center" wrapText="1" indent="1"/>
    </xf>
    <xf numFmtId="0" fontId="51" fillId="2" borderId="58" xfId="1" applyFont="1" applyFill="1" applyBorder="1" applyAlignment="1">
      <alignment horizontal="left" vertical="center" wrapText="1" indent="1"/>
    </xf>
    <xf numFmtId="0" fontId="51" fillId="2" borderId="90" xfId="1" applyFont="1" applyFill="1" applyBorder="1" applyAlignment="1">
      <alignment horizontal="left" vertical="center" wrapText="1" indent="1"/>
    </xf>
    <xf numFmtId="0" fontId="51" fillId="2" borderId="33" xfId="1" applyFont="1" applyFill="1" applyBorder="1" applyAlignment="1">
      <alignment horizontal="left" vertical="center" wrapText="1" indent="1"/>
    </xf>
    <xf numFmtId="0" fontId="51" fillId="2" borderId="34" xfId="1" applyFont="1" applyFill="1" applyBorder="1" applyAlignment="1">
      <alignment horizontal="right" vertical="center" wrapText="1" indent="1"/>
    </xf>
    <xf numFmtId="0" fontId="51" fillId="2" borderId="83" xfId="1" applyFont="1" applyFill="1" applyBorder="1" applyAlignment="1">
      <alignment horizontal="left" vertical="center" wrapText="1" indent="1"/>
    </xf>
    <xf numFmtId="0" fontId="22" fillId="2" borderId="83" xfId="1" applyFont="1" applyFill="1" applyBorder="1" applyAlignment="1">
      <alignment horizontal="right" vertical="center" wrapText="1" indent="1"/>
    </xf>
    <xf numFmtId="0" fontId="51" fillId="2" borderId="70" xfId="1" applyFont="1" applyFill="1" applyBorder="1" applyAlignment="1">
      <alignment horizontal="left" vertical="center" wrapText="1" indent="1"/>
    </xf>
    <xf numFmtId="0" fontId="51" fillId="2" borderId="34" xfId="1" applyFont="1" applyFill="1" applyBorder="1" applyAlignment="1">
      <alignment horizontal="left" vertical="center" wrapText="1" indent="1"/>
    </xf>
    <xf numFmtId="0" fontId="51" fillId="2" borderId="43" xfId="1" applyFont="1" applyFill="1" applyBorder="1" applyAlignment="1">
      <alignment horizontal="left" vertical="center" wrapText="1" indent="1"/>
    </xf>
    <xf numFmtId="0" fontId="51" fillId="2" borderId="25" xfId="1" applyFont="1" applyFill="1" applyBorder="1" applyAlignment="1">
      <alignment horizontal="left" vertical="center" wrapText="1" indent="1"/>
    </xf>
    <xf numFmtId="0" fontId="51" fillId="2" borderId="41" xfId="1" applyFont="1" applyFill="1" applyBorder="1" applyAlignment="1">
      <alignment horizontal="left" vertical="center" wrapText="1" indent="1"/>
    </xf>
    <xf numFmtId="0" fontId="51" fillId="2" borderId="39" xfId="1" applyFont="1" applyFill="1" applyBorder="1" applyAlignment="1">
      <alignment horizontal="left" vertical="center" wrapText="1" indent="1"/>
    </xf>
    <xf numFmtId="0" fontId="22" fillId="2" borderId="33" xfId="1" applyFont="1" applyFill="1" applyBorder="1" applyAlignment="1">
      <alignment horizontal="left" vertical="center" wrapText="1" indent="1"/>
    </xf>
    <xf numFmtId="0" fontId="51" fillId="2" borderId="38" xfId="1" applyFont="1" applyFill="1" applyBorder="1" applyAlignment="1">
      <alignment horizontal="left" vertical="center" wrapText="1" indent="1"/>
    </xf>
    <xf numFmtId="0" fontId="51" fillId="2" borderId="46" xfId="1" applyFont="1" applyFill="1" applyBorder="1" applyAlignment="1">
      <alignment horizontal="left" vertical="center" wrapText="1" indent="1"/>
    </xf>
    <xf numFmtId="0" fontId="51" fillId="2" borderId="45" xfId="1" applyFont="1" applyFill="1" applyBorder="1" applyAlignment="1">
      <alignment horizontal="left" vertical="center" wrapText="1" indent="1"/>
    </xf>
    <xf numFmtId="0" fontId="22" fillId="2" borderId="12" xfId="1" applyFont="1" applyFill="1" applyBorder="1" applyAlignment="1">
      <alignment horizontal="left" vertical="center" wrapText="1" indent="1"/>
    </xf>
    <xf numFmtId="0" fontId="51" fillId="2" borderId="24" xfId="1" applyFont="1" applyFill="1" applyBorder="1" applyAlignment="1">
      <alignment horizontal="left" vertical="center" wrapText="1" indent="1"/>
    </xf>
    <xf numFmtId="0" fontId="51" fillId="2" borderId="15" xfId="1" applyFont="1" applyFill="1" applyBorder="1" applyAlignment="1">
      <alignment horizontal="left" vertical="center" wrapText="1" indent="1"/>
    </xf>
    <xf numFmtId="0" fontId="22" fillId="2" borderId="12"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51" fillId="2" borderId="102" xfId="1" applyFont="1" applyFill="1" applyBorder="1" applyAlignment="1">
      <alignment horizontal="left" vertical="center" wrapText="1" indent="1"/>
    </xf>
    <xf numFmtId="0" fontId="51" fillId="2" borderId="101" xfId="1" applyFont="1" applyFill="1" applyBorder="1" applyAlignment="1">
      <alignment horizontal="left" vertical="center" wrapText="1" indent="1"/>
    </xf>
    <xf numFmtId="0" fontId="51" fillId="2" borderId="50" xfId="1" applyFont="1" applyFill="1" applyBorder="1" applyAlignment="1">
      <alignment horizontal="left" vertical="center" wrapText="1" indent="1"/>
    </xf>
    <xf numFmtId="0" fontId="51" fillId="2" borderId="71" xfId="1" applyFont="1" applyFill="1" applyBorder="1" applyAlignment="1">
      <alignment horizontal="left" vertical="center" wrapText="1" indent="1"/>
    </xf>
    <xf numFmtId="0" fontId="51" fillId="2" borderId="72" xfId="1" applyFont="1" applyFill="1" applyBorder="1" applyAlignment="1">
      <alignment horizontal="left" vertical="center" wrapText="1" indent="1"/>
    </xf>
    <xf numFmtId="0" fontId="51" fillId="2" borderId="73" xfId="1" applyFont="1" applyFill="1" applyBorder="1" applyAlignment="1">
      <alignment horizontal="left" vertical="center" wrapText="1" indent="1"/>
    </xf>
    <xf numFmtId="0" fontId="22" fillId="2" borderId="11" xfId="1" applyFont="1" applyFill="1" applyBorder="1" applyAlignment="1">
      <alignment horizontal="left" vertical="center" wrapText="1" indent="1"/>
    </xf>
    <xf numFmtId="0" fontId="22" fillId="2" borderId="13" xfId="1" applyFont="1" applyFill="1" applyBorder="1" applyAlignment="1">
      <alignment horizontal="left" vertical="center" wrapText="1" indent="1"/>
    </xf>
    <xf numFmtId="0" fontId="51" fillId="2" borderId="97" xfId="1" applyFont="1" applyFill="1" applyBorder="1" applyAlignment="1">
      <alignment horizontal="left" vertical="center" wrapText="1" indent="1"/>
    </xf>
    <xf numFmtId="0" fontId="51" fillId="2" borderId="29" xfId="1" applyFont="1" applyFill="1" applyBorder="1" applyAlignment="1">
      <alignment horizontal="left" vertical="center" wrapText="1" indent="1"/>
    </xf>
    <xf numFmtId="0" fontId="13" fillId="2" borderId="83" xfId="1" applyFont="1" applyFill="1" applyBorder="1" applyAlignment="1">
      <alignment horizontal="left" vertical="center" wrapText="1" indent="1"/>
    </xf>
    <xf numFmtId="0" fontId="13" fillId="2" borderId="24" xfId="1" applyFont="1" applyFill="1" applyBorder="1" applyAlignment="1">
      <alignment horizontal="left" vertical="center" wrapText="1" indent="1"/>
    </xf>
    <xf numFmtId="0" fontId="22" fillId="2" borderId="68"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7" xfId="1" applyFont="1" applyFill="1" applyBorder="1" applyAlignment="1">
      <alignment horizontal="center" vertical="center" wrapText="1"/>
    </xf>
    <xf numFmtId="10" fontId="2" fillId="0" borderId="0" xfId="0" applyNumberFormat="1" applyFont="1"/>
    <xf numFmtId="0" fontId="1" fillId="0" borderId="32" xfId="1" applyBorder="1"/>
    <xf numFmtId="0" fontId="14" fillId="0" borderId="0" xfId="4" applyAlignment="1">
      <alignment horizontal="left" vertical="center" wrapText="1" indent="1"/>
    </xf>
    <xf numFmtId="0" fontId="1" fillId="0" borderId="0" xfId="1"/>
    <xf numFmtId="0" fontId="12" fillId="0" borderId="32" xfId="1" applyFont="1" applyBorder="1"/>
    <xf numFmtId="0" fontId="21" fillId="2" borderId="27" xfId="1" applyFont="1" applyFill="1" applyBorder="1" applyAlignment="1">
      <alignment horizontal="left" vertical="center" wrapText="1" indent="1"/>
    </xf>
    <xf numFmtId="0" fontId="12" fillId="0" borderId="0" xfId="1" applyFont="1"/>
    <xf numFmtId="0" fontId="63" fillId="4" borderId="116" xfId="1" applyFont="1" applyFill="1" applyBorder="1" applyAlignment="1">
      <alignment horizontal="center" vertical="center"/>
    </xf>
    <xf numFmtId="0" fontId="63" fillId="4" borderId="116" xfId="1" applyFont="1" applyFill="1" applyBorder="1" applyAlignment="1">
      <alignment horizontal="left" vertical="center" wrapText="1" indent="1"/>
    </xf>
    <xf numFmtId="0" fontId="63" fillId="4" borderId="116" xfId="1" applyFont="1" applyFill="1" applyBorder="1" applyAlignment="1">
      <alignment horizontal="center" vertical="center" wrapText="1"/>
    </xf>
    <xf numFmtId="0" fontId="63" fillId="4" borderId="117" xfId="1" applyFont="1" applyFill="1" applyBorder="1" applyAlignment="1">
      <alignment horizontal="center" vertical="center"/>
    </xf>
    <xf numFmtId="0" fontId="17" fillId="2" borderId="60" xfId="1" applyFont="1" applyFill="1" applyBorder="1" applyAlignment="1">
      <alignment horizontal="left" vertical="center" wrapText="1" indent="1"/>
    </xf>
    <xf numFmtId="0" fontId="39" fillId="5" borderId="60" xfId="1" applyFont="1" applyFill="1" applyBorder="1" applyAlignment="1">
      <alignment horizontal="left" vertical="center" wrapText="1" indent="1"/>
    </xf>
    <xf numFmtId="0" fontId="17" fillId="2" borderId="42" xfId="1" applyFont="1" applyFill="1" applyBorder="1" applyAlignment="1">
      <alignment horizontal="left" vertical="center" wrapText="1" indent="1"/>
    </xf>
    <xf numFmtId="0" fontId="39" fillId="5" borderId="42" xfId="1" applyFont="1" applyFill="1" applyBorder="1" applyAlignment="1">
      <alignment horizontal="left" vertical="center" wrapText="1" indent="1"/>
    </xf>
    <xf numFmtId="0" fontId="17" fillId="2" borderId="88" xfId="1" applyFont="1" applyFill="1" applyBorder="1" applyAlignment="1">
      <alignment horizontal="left" vertical="center" wrapText="1" indent="1"/>
    </xf>
    <xf numFmtId="0" fontId="39" fillId="5" borderId="62" xfId="1" applyFont="1" applyFill="1" applyBorder="1" applyAlignment="1">
      <alignment horizontal="left" vertical="center" wrapText="1" indent="1"/>
    </xf>
    <xf numFmtId="0" fontId="39" fillId="5" borderId="45" xfId="1" applyFont="1" applyFill="1" applyBorder="1" applyAlignment="1">
      <alignment horizontal="left" vertical="center" wrapText="1" indent="1"/>
    </xf>
    <xf numFmtId="0" fontId="39" fillId="5" borderId="98" xfId="1" applyFont="1" applyFill="1" applyBorder="1" applyAlignment="1">
      <alignment horizontal="left" vertical="center" wrapText="1" indent="1"/>
    </xf>
    <xf numFmtId="0" fontId="39" fillId="5" borderId="87" xfId="1" applyFont="1" applyFill="1" applyBorder="1" applyAlignment="1">
      <alignment horizontal="left" vertical="center" wrapText="1" indent="1"/>
    </xf>
    <xf numFmtId="0" fontId="39" fillId="5" borderId="4" xfId="1" applyFont="1" applyFill="1" applyBorder="1" applyAlignment="1">
      <alignment horizontal="left" vertical="center" wrapText="1" indent="1"/>
    </xf>
    <xf numFmtId="0" fontId="39" fillId="5" borderId="5" xfId="1" applyFont="1" applyFill="1" applyBorder="1" applyAlignment="1">
      <alignment horizontal="left" vertical="center" wrapText="1" indent="1"/>
    </xf>
    <xf numFmtId="0" fontId="38" fillId="2" borderId="121" xfId="1" applyFont="1" applyFill="1" applyBorder="1" applyAlignment="1">
      <alignment horizontal="right" vertical="center" wrapText="1" indent="1"/>
    </xf>
    <xf numFmtId="0" fontId="38" fillId="2" borderId="68" xfId="1" applyFont="1" applyFill="1" applyBorder="1" applyAlignment="1">
      <alignment horizontal="right" vertical="center" wrapText="1" indent="1"/>
    </xf>
    <xf numFmtId="0" fontId="2" fillId="5" borderId="3" xfId="0" applyFont="1" applyFill="1" applyBorder="1" applyAlignment="1">
      <alignment horizontal="left" vertical="center" wrapText="1" indent="1"/>
    </xf>
    <xf numFmtId="0" fontId="2" fillId="5" borderId="88" xfId="0" applyFont="1" applyFill="1" applyBorder="1" applyAlignment="1">
      <alignment horizontal="left" vertical="center" wrapText="1" indent="1"/>
    </xf>
    <xf numFmtId="0" fontId="2" fillId="2" borderId="48" xfId="0" applyFont="1" applyFill="1" applyBorder="1" applyAlignment="1">
      <alignment horizontal="left" vertical="center" wrapText="1" indent="1"/>
    </xf>
    <xf numFmtId="0" fontId="2" fillId="5" borderId="48" xfId="0" applyFont="1" applyFill="1" applyBorder="1" applyAlignment="1">
      <alignment horizontal="left" vertical="center" wrapText="1" indent="1"/>
    </xf>
    <xf numFmtId="0" fontId="12" fillId="0" borderId="0" xfId="1" applyFont="1" applyAlignment="1">
      <alignment horizontal="left" vertical="center" indent="1"/>
    </xf>
    <xf numFmtId="0" fontId="30" fillId="0" borderId="0" xfId="0" applyFont="1" applyAlignment="1">
      <alignment horizontal="left" vertical="center" wrapText="1" indent="1"/>
    </xf>
    <xf numFmtId="0" fontId="2" fillId="0" borderId="0" xfId="0" applyFont="1" applyAlignment="1">
      <alignment horizontal="center"/>
    </xf>
    <xf numFmtId="0" fontId="15" fillId="16" borderId="60" xfId="0" applyFont="1" applyFill="1" applyBorder="1" applyAlignment="1">
      <alignment horizontal="left" vertical="center" wrapText="1" indent="1"/>
    </xf>
    <xf numFmtId="0" fontId="15" fillId="16" borderId="61" xfId="0" applyFont="1" applyFill="1" applyBorder="1" applyAlignment="1">
      <alignment horizontal="left" vertical="center" wrapText="1" indent="1"/>
    </xf>
    <xf numFmtId="0" fontId="15" fillId="16" borderId="68" xfId="0" applyFont="1" applyFill="1" applyBorder="1" applyAlignment="1">
      <alignment horizontal="left" vertical="center" wrapText="1" indent="1"/>
    </xf>
    <xf numFmtId="0" fontId="15" fillId="13" borderId="60" xfId="0" applyFont="1" applyFill="1" applyBorder="1" applyAlignment="1">
      <alignment horizontal="left" vertical="center" wrapText="1" indent="1"/>
    </xf>
    <xf numFmtId="0" fontId="15" fillId="13" borderId="61" xfId="0" applyFont="1" applyFill="1" applyBorder="1" applyAlignment="1">
      <alignment horizontal="left" vertical="center" wrapText="1" indent="1"/>
    </xf>
    <xf numFmtId="0" fontId="15" fillId="13" borderId="68" xfId="0" applyFont="1" applyFill="1" applyBorder="1" applyAlignment="1">
      <alignment horizontal="left" vertical="center" wrapText="1" indent="1"/>
    </xf>
    <xf numFmtId="0" fontId="2" fillId="0" borderId="0" xfId="0" applyFont="1" applyAlignment="1">
      <alignment horizontal="right" vertical="center" indent="1"/>
    </xf>
    <xf numFmtId="9" fontId="2" fillId="0" borderId="0" xfId="0" applyNumberFormat="1" applyFont="1" applyAlignment="1">
      <alignment horizontal="right" vertical="center" indent="1"/>
    </xf>
    <xf numFmtId="0" fontId="15" fillId="15" borderId="16" xfId="0" applyFont="1" applyFill="1" applyBorder="1" applyAlignment="1">
      <alignment horizontal="left" vertical="center" wrapText="1" indent="1"/>
    </xf>
    <xf numFmtId="0" fontId="15" fillId="17" borderId="33" xfId="0" applyFont="1" applyFill="1" applyBorder="1" applyAlignment="1">
      <alignment horizontal="left" vertical="center" wrapText="1" indent="1"/>
    </xf>
    <xf numFmtId="9" fontId="4" fillId="3" borderId="8" xfId="0" applyNumberFormat="1" applyFont="1" applyFill="1" applyBorder="1" applyAlignment="1">
      <alignment horizontal="right" vertical="center" wrapText="1" indent="1"/>
    </xf>
    <xf numFmtId="9" fontId="4" fillId="3" borderId="16" xfId="0" applyNumberFormat="1" applyFont="1" applyFill="1" applyBorder="1" applyAlignment="1">
      <alignment horizontal="right" vertical="center" wrapText="1" indent="1"/>
    </xf>
    <xf numFmtId="0" fontId="4" fillId="0" borderId="0" xfId="0" applyFont="1" applyAlignment="1">
      <alignment horizontal="center"/>
    </xf>
    <xf numFmtId="9" fontId="4" fillId="3" borderId="60" xfId="0" applyNumberFormat="1" applyFont="1" applyFill="1" applyBorder="1" applyAlignment="1">
      <alignment horizontal="right" vertical="center" wrapText="1" indent="1"/>
    </xf>
    <xf numFmtId="9" fontId="4" fillId="3" borderId="61" xfId="0" applyNumberFormat="1" applyFont="1" applyFill="1" applyBorder="1" applyAlignment="1">
      <alignment horizontal="right" vertical="center" wrapText="1" indent="1"/>
    </xf>
    <xf numFmtId="9" fontId="4" fillId="3" borderId="68" xfId="0" applyNumberFormat="1" applyFont="1" applyFill="1" applyBorder="1" applyAlignment="1">
      <alignment horizontal="right" vertical="center" wrapText="1" indent="1"/>
    </xf>
    <xf numFmtId="9" fontId="4" fillId="3" borderId="68" xfId="0" applyNumberFormat="1" applyFont="1" applyFill="1" applyBorder="1" applyAlignment="1">
      <alignment horizontal="right" vertical="center" indent="1"/>
    </xf>
    <xf numFmtId="9" fontId="4" fillId="3" borderId="33" xfId="0" applyNumberFormat="1" applyFont="1" applyFill="1" applyBorder="1" applyAlignment="1">
      <alignment horizontal="right" vertical="center" indent="1"/>
    </xf>
    <xf numFmtId="0" fontId="25" fillId="2" borderId="33" xfId="0" applyFont="1" applyFill="1" applyBorder="1" applyAlignment="1">
      <alignment horizontal="left" vertical="center" indent="1"/>
    </xf>
    <xf numFmtId="0" fontId="73" fillId="23" borderId="39" xfId="3" applyFont="1" applyFill="1" applyBorder="1" applyAlignment="1">
      <alignment horizontal="left" vertical="center" wrapText="1" indent="1"/>
    </xf>
    <xf numFmtId="0" fontId="73" fillId="23" borderId="24" xfId="3" applyFont="1" applyFill="1" applyBorder="1" applyAlignment="1">
      <alignment horizontal="left" vertical="center" wrapText="1" indent="1"/>
    </xf>
    <xf numFmtId="0" fontId="27" fillId="23" borderId="39" xfId="3" applyFont="1" applyFill="1" applyBorder="1" applyAlignment="1">
      <alignment horizontal="left" vertical="center" wrapText="1" indent="1"/>
    </xf>
    <xf numFmtId="0" fontId="27" fillId="23" borderId="24" xfId="3" applyFont="1" applyFill="1" applyBorder="1" applyAlignment="1">
      <alignment horizontal="left" vertical="center" wrapText="1" indent="1"/>
    </xf>
    <xf numFmtId="0" fontId="75" fillId="0" borderId="0" xfId="0" applyFont="1"/>
    <xf numFmtId="17" fontId="74" fillId="0" borderId="0" xfId="0" applyNumberFormat="1" applyFont="1" applyAlignment="1">
      <alignment horizontal="center" wrapText="1"/>
    </xf>
    <xf numFmtId="0" fontId="17" fillId="0" borderId="0" xfId="1" applyFont="1" applyAlignment="1">
      <alignment horizontal="left" vertical="center" indent="1"/>
    </xf>
    <xf numFmtId="0" fontId="36" fillId="2" borderId="0" xfId="1" applyFont="1" applyFill="1" applyAlignment="1">
      <alignment horizontal="left" vertical="center" wrapText="1" indent="3"/>
    </xf>
    <xf numFmtId="0" fontId="36" fillId="2" borderId="0" xfId="1" applyFont="1" applyFill="1" applyAlignment="1">
      <alignment horizontal="left" vertical="center" wrapText="1" indent="1"/>
    </xf>
    <xf numFmtId="0" fontId="15" fillId="15" borderId="8" xfId="0" applyFont="1" applyFill="1" applyBorder="1" applyAlignment="1">
      <alignment horizontal="left" vertical="center" wrapText="1" indent="1"/>
    </xf>
    <xf numFmtId="0" fontId="15" fillId="11" borderId="8" xfId="0" applyFont="1" applyFill="1" applyBorder="1" applyAlignment="1">
      <alignment horizontal="left" vertical="center" wrapText="1" indent="1"/>
    </xf>
    <xf numFmtId="0" fontId="12" fillId="8" borderId="32" xfId="0" applyFont="1" applyFill="1" applyBorder="1" applyAlignment="1">
      <alignment horizontal="left" vertical="center" wrapText="1" indent="1"/>
    </xf>
    <xf numFmtId="9" fontId="21" fillId="10" borderId="11" xfId="0" applyNumberFormat="1" applyFont="1" applyFill="1" applyBorder="1" applyAlignment="1">
      <alignment horizontal="center" vertical="center"/>
    </xf>
    <xf numFmtId="0" fontId="10" fillId="2" borderId="23" xfId="2" applyFill="1" applyBorder="1" applyAlignment="1">
      <alignment horizontal="left" vertical="center" wrapText="1" indent="1"/>
    </xf>
    <xf numFmtId="0" fontId="10" fillId="2" borderId="36" xfId="2" applyFill="1" applyBorder="1" applyAlignment="1">
      <alignment horizontal="left" vertical="center" wrapText="1" indent="1"/>
    </xf>
    <xf numFmtId="0" fontId="12" fillId="25" borderId="24" xfId="0" applyFont="1" applyFill="1" applyBorder="1" applyAlignment="1">
      <alignment horizontal="left" vertical="center" wrapText="1"/>
    </xf>
    <xf numFmtId="0" fontId="12" fillId="25" borderId="41" xfId="0" applyFont="1" applyFill="1" applyBorder="1" applyAlignment="1">
      <alignment horizontal="left" vertical="center" wrapText="1"/>
    </xf>
    <xf numFmtId="9" fontId="21" fillId="3" borderId="45" xfId="1" applyNumberFormat="1" applyFont="1" applyFill="1" applyBorder="1" applyAlignment="1">
      <alignment horizontal="right" vertical="center" indent="1"/>
    </xf>
    <xf numFmtId="9" fontId="12" fillId="3" borderId="2" xfId="1" applyNumberFormat="1" applyFont="1" applyFill="1" applyBorder="1" applyAlignment="1">
      <alignment horizontal="right" vertical="center" indent="1"/>
    </xf>
    <xf numFmtId="9" fontId="12" fillId="3" borderId="5" xfId="1" applyNumberFormat="1" applyFont="1" applyFill="1" applyBorder="1" applyAlignment="1">
      <alignment horizontal="right" vertical="center" indent="1"/>
    </xf>
    <xf numFmtId="9" fontId="12" fillId="3" borderId="7" xfId="1" applyNumberFormat="1" applyFont="1" applyFill="1" applyBorder="1" applyAlignment="1">
      <alignment horizontal="right" vertical="center" indent="1"/>
    </xf>
    <xf numFmtId="2" fontId="2" fillId="0" borderId="0" xfId="0" applyNumberFormat="1" applyFont="1"/>
    <xf numFmtId="2" fontId="2" fillId="0" borderId="9" xfId="0" applyNumberFormat="1" applyFont="1" applyBorder="1" applyAlignment="1">
      <alignment horizontal="center"/>
    </xf>
    <xf numFmtId="2" fontId="2" fillId="0" borderId="10" xfId="0" applyNumberFormat="1" applyFont="1" applyBorder="1" applyAlignment="1">
      <alignment horizontal="center"/>
    </xf>
    <xf numFmtId="9" fontId="12" fillId="3" borderId="34" xfId="1" applyNumberFormat="1" applyFont="1" applyFill="1" applyBorder="1" applyAlignment="1">
      <alignment horizontal="right" vertical="center" indent="1"/>
    </xf>
    <xf numFmtId="0" fontId="15" fillId="11" borderId="21" xfId="0" applyFont="1" applyFill="1" applyBorder="1" applyAlignment="1">
      <alignment horizontal="left" vertical="center" wrapText="1" indent="1"/>
    </xf>
    <xf numFmtId="9" fontId="4" fillId="3" borderId="21" xfId="0" applyNumberFormat="1" applyFont="1" applyFill="1" applyBorder="1" applyAlignment="1">
      <alignment horizontal="right" vertical="center" wrapText="1" indent="1"/>
    </xf>
    <xf numFmtId="9" fontId="2" fillId="3" borderId="4" xfId="0" applyNumberFormat="1" applyFont="1" applyFill="1" applyBorder="1" applyAlignment="1">
      <alignment horizontal="right" vertical="center" indent="1"/>
    </xf>
    <xf numFmtId="9" fontId="2" fillId="0" borderId="6" xfId="0" applyNumberFormat="1" applyFont="1" applyBorder="1" applyAlignment="1">
      <alignment horizontal="right" vertical="center" indent="1"/>
    </xf>
    <xf numFmtId="9" fontId="2" fillId="0" borderId="4" xfId="0" applyNumberFormat="1" applyFont="1" applyBorder="1" applyAlignment="1">
      <alignment horizontal="right" vertical="center" indent="1"/>
    </xf>
    <xf numFmtId="9" fontId="2" fillId="0" borderId="0" xfId="0" applyNumberFormat="1" applyFont="1"/>
    <xf numFmtId="9" fontId="2" fillId="0" borderId="28" xfId="0" applyNumberFormat="1" applyFont="1" applyBorder="1" applyAlignment="1">
      <alignment horizontal="center"/>
    </xf>
    <xf numFmtId="9" fontId="2" fillId="0" borderId="15" xfId="0" applyNumberFormat="1" applyFont="1" applyBorder="1" applyAlignment="1">
      <alignment horizontal="center"/>
    </xf>
    <xf numFmtId="9" fontId="2" fillId="0" borderId="29" xfId="0" applyNumberFormat="1" applyFont="1" applyBorder="1" applyAlignment="1">
      <alignment horizontal="center"/>
    </xf>
    <xf numFmtId="9" fontId="2" fillId="3" borderId="14" xfId="0" applyNumberFormat="1" applyFont="1" applyFill="1" applyBorder="1" applyAlignment="1">
      <alignment horizontal="right" vertical="center" indent="1"/>
    </xf>
    <xf numFmtId="9" fontId="2" fillId="2" borderId="1" xfId="0" applyNumberFormat="1" applyFont="1" applyFill="1" applyBorder="1" applyAlignment="1">
      <alignment horizontal="right" vertical="center" indent="1"/>
    </xf>
    <xf numFmtId="9" fontId="2" fillId="0" borderId="1" xfId="0" applyNumberFormat="1" applyFont="1" applyBorder="1" applyAlignment="1">
      <alignment horizontal="right" vertical="center" indent="1"/>
    </xf>
    <xf numFmtId="9" fontId="2" fillId="2" borderId="2" xfId="0" applyNumberFormat="1" applyFont="1" applyFill="1" applyBorder="1" applyAlignment="1">
      <alignment horizontal="right" vertical="center" indent="1"/>
    </xf>
    <xf numFmtId="9" fontId="2" fillId="2" borderId="4" xfId="0" applyNumberFormat="1" applyFont="1" applyFill="1" applyBorder="1" applyAlignment="1">
      <alignment horizontal="right" vertical="center" indent="1"/>
    </xf>
    <xf numFmtId="9" fontId="2" fillId="2" borderId="5" xfId="0" applyNumberFormat="1" applyFont="1" applyFill="1" applyBorder="1" applyAlignment="1">
      <alignment horizontal="right" vertical="center" indent="1"/>
    </xf>
    <xf numFmtId="9" fontId="2" fillId="2" borderId="14" xfId="0" applyNumberFormat="1" applyFont="1" applyFill="1" applyBorder="1" applyAlignment="1">
      <alignment horizontal="right" vertical="center" indent="1"/>
    </xf>
    <xf numFmtId="9" fontId="30" fillId="0" borderId="8" xfId="0" applyNumberFormat="1" applyFont="1" applyBorder="1" applyAlignment="1">
      <alignment horizontal="left" vertical="center" wrapText="1" indent="1"/>
    </xf>
    <xf numFmtId="9" fontId="30" fillId="0" borderId="9" xfId="0" applyNumberFormat="1" applyFont="1" applyBorder="1" applyAlignment="1">
      <alignment horizontal="left" vertical="center" wrapText="1" indent="1"/>
    </xf>
    <xf numFmtId="9" fontId="2" fillId="0" borderId="9" xfId="0" applyNumberFormat="1" applyFont="1" applyBorder="1" applyAlignment="1">
      <alignment horizontal="center"/>
    </xf>
    <xf numFmtId="9" fontId="2" fillId="0" borderId="10" xfId="0" applyNumberFormat="1" applyFont="1" applyBorder="1" applyAlignment="1">
      <alignment horizontal="center"/>
    </xf>
    <xf numFmtId="9" fontId="30" fillId="3" borderId="1" xfId="0" applyNumberFormat="1" applyFont="1" applyFill="1" applyBorder="1" applyAlignment="1">
      <alignment horizontal="right" vertical="center" indent="1"/>
    </xf>
    <xf numFmtId="9" fontId="30" fillId="3" borderId="1" xfId="9" applyFont="1" applyFill="1" applyBorder="1" applyAlignment="1">
      <alignment horizontal="right" vertical="center" indent="1"/>
    </xf>
    <xf numFmtId="9" fontId="30" fillId="3" borderId="36" xfId="0" applyNumberFormat="1" applyFont="1" applyFill="1" applyBorder="1" applyAlignment="1">
      <alignment horizontal="right" vertical="center" indent="1"/>
    </xf>
    <xf numFmtId="9" fontId="8" fillId="3" borderId="67" xfId="0" applyNumberFormat="1" applyFont="1" applyFill="1" applyBorder="1" applyAlignment="1">
      <alignment horizontal="center" vertical="center"/>
    </xf>
    <xf numFmtId="9" fontId="2" fillId="2" borderId="0" xfId="0" applyNumberFormat="1" applyFont="1" applyFill="1"/>
    <xf numFmtId="9" fontId="8" fillId="0" borderId="0" xfId="0" applyNumberFormat="1" applyFont="1" applyAlignment="1">
      <alignment horizontal="center" vertical="center" wrapText="1"/>
    </xf>
    <xf numFmtId="0" fontId="15" fillId="4" borderId="115" xfId="1" applyFont="1" applyFill="1" applyBorder="1" applyAlignment="1">
      <alignment horizontal="center" vertical="center" wrapText="1"/>
    </xf>
    <xf numFmtId="0" fontId="15" fillId="0" borderId="0" xfId="1" applyFont="1" applyAlignment="1">
      <alignment horizontal="left" vertical="center" wrapText="1" indent="1"/>
    </xf>
    <xf numFmtId="0" fontId="17" fillId="0" borderId="0" xfId="1" applyFont="1" applyAlignment="1">
      <alignment horizontal="left" vertical="center" wrapText="1" indent="1"/>
    </xf>
    <xf numFmtId="0" fontId="36" fillId="2" borderId="33" xfId="0" applyFont="1" applyFill="1" applyBorder="1" applyAlignment="1">
      <alignment horizontal="right" vertical="center" wrapText="1" indent="1"/>
    </xf>
    <xf numFmtId="9" fontId="2" fillId="3" borderId="61" xfId="0" applyNumberFormat="1" applyFont="1" applyFill="1" applyBorder="1" applyAlignment="1">
      <alignment horizontal="right" vertical="center" wrapText="1" indent="1"/>
    </xf>
    <xf numFmtId="9" fontId="2" fillId="3" borderId="61" xfId="0" applyNumberFormat="1" applyFont="1" applyFill="1" applyBorder="1" applyAlignment="1">
      <alignment horizontal="right" vertical="center" indent="1"/>
    </xf>
    <xf numFmtId="0" fontId="6" fillId="0" borderId="0" xfId="1" applyFont="1" applyAlignment="1">
      <alignment horizontal="left" vertical="center" wrapText="1" indent="1"/>
    </xf>
    <xf numFmtId="0" fontId="52" fillId="0" borderId="0" xfId="2" applyFont="1" applyFill="1" applyBorder="1" applyAlignment="1">
      <alignment horizontal="center" vertical="center" wrapText="1"/>
    </xf>
    <xf numFmtId="0" fontId="15" fillId="0" borderId="0" xfId="1" applyFont="1" applyAlignment="1">
      <alignment horizontal="center" vertical="center" wrapText="1"/>
    </xf>
    <xf numFmtId="0" fontId="17" fillId="0" borderId="27" xfId="1" applyFont="1" applyBorder="1"/>
    <xf numFmtId="0" fontId="10" fillId="0" borderId="27" xfId="2" applyFill="1" applyBorder="1" applyAlignment="1">
      <alignment horizontal="center" vertical="center" wrapText="1"/>
    </xf>
    <xf numFmtId="0" fontId="2" fillId="0" borderId="27" xfId="0" applyFont="1" applyBorder="1"/>
    <xf numFmtId="0" fontId="10" fillId="2" borderId="12" xfId="2" applyFill="1" applyBorder="1" applyAlignment="1">
      <alignment horizontal="center" vertical="center" wrapText="1"/>
    </xf>
    <xf numFmtId="0" fontId="14" fillId="0" borderId="0" xfId="2" applyFont="1" applyFill="1" applyBorder="1" applyAlignment="1">
      <alignment horizontal="center" vertical="center" wrapText="1"/>
    </xf>
    <xf numFmtId="0" fontId="17" fillId="0" borderId="27" xfId="1" applyFont="1" applyBorder="1" applyAlignment="1">
      <alignment horizontal="left" vertical="center" wrapText="1" indent="1"/>
    </xf>
    <xf numFmtId="0" fontId="10" fillId="2" borderId="0" xfId="2" applyFill="1" applyAlignment="1">
      <alignment horizontal="center" vertical="center" wrapText="1"/>
    </xf>
    <xf numFmtId="0" fontId="12" fillId="0" borderId="32" xfId="1" applyFont="1" applyBorder="1" applyAlignment="1">
      <alignment horizontal="left" vertical="center" wrapText="1" indent="1"/>
    </xf>
    <xf numFmtId="0" fontId="12" fillId="0" borderId="0" xfId="1" applyFont="1" applyAlignment="1">
      <alignment horizontal="left" vertical="center" wrapText="1" indent="1"/>
    </xf>
    <xf numFmtId="0" fontId="2" fillId="0" borderId="32" xfId="0" applyFont="1" applyBorder="1" applyAlignment="1">
      <alignment horizontal="left" vertical="center" wrapText="1" indent="1"/>
    </xf>
    <xf numFmtId="0" fontId="2" fillId="2" borderId="0" xfId="3" applyFont="1" applyFill="1" applyAlignment="1">
      <alignment horizontal="left" vertical="center" wrapText="1" indent="1"/>
    </xf>
    <xf numFmtId="0" fontId="2" fillId="0" borderId="0" xfId="3" applyFont="1" applyAlignment="1">
      <alignment horizontal="left" vertical="center" wrapText="1" indent="1"/>
    </xf>
    <xf numFmtId="0" fontId="79" fillId="2" borderId="0" xfId="3" applyFont="1" applyFill="1" applyAlignment="1">
      <alignment horizontal="right" vertical="top" wrapText="1"/>
    </xf>
    <xf numFmtId="0" fontId="74" fillId="0" borderId="0" xfId="1" applyFont="1"/>
    <xf numFmtId="0" fontId="80" fillId="0" borderId="0" xfId="1" applyFont="1"/>
    <xf numFmtId="0" fontId="1" fillId="0" borderId="0" xfId="0" applyFont="1"/>
    <xf numFmtId="0" fontId="80" fillId="0" borderId="0" xfId="1" applyFont="1" applyAlignment="1">
      <alignment horizontal="left" vertical="center" wrapText="1" indent="1"/>
    </xf>
    <xf numFmtId="0" fontId="81" fillId="0" borderId="0" xfId="4" applyFont="1" applyBorder="1" applyAlignment="1">
      <alignment horizontal="left" vertical="center" wrapText="1" indent="1"/>
    </xf>
    <xf numFmtId="0" fontId="9" fillId="0" borderId="0" xfId="10" applyFont="1"/>
    <xf numFmtId="0" fontId="9" fillId="0" borderId="0" xfId="0" applyFont="1"/>
    <xf numFmtId="0" fontId="87" fillId="0" borderId="0" xfId="0" applyFont="1" applyAlignment="1">
      <alignment horizontal="left" vertical="center" wrapText="1"/>
    </xf>
    <xf numFmtId="0" fontId="9" fillId="0" borderId="0" xfId="0" applyFont="1" applyAlignment="1">
      <alignment horizontal="left" vertical="center" wrapText="1"/>
    </xf>
    <xf numFmtId="0" fontId="2" fillId="2" borderId="0" xfId="3" applyFont="1" applyFill="1" applyAlignment="1">
      <alignment horizontal="left" vertical="center" wrapText="1" indent="3"/>
    </xf>
    <xf numFmtId="0" fontId="10" fillId="2" borderId="28" xfId="2" applyFill="1" applyBorder="1" applyAlignment="1">
      <alignment horizontal="center" vertical="center" wrapText="1"/>
    </xf>
    <xf numFmtId="0" fontId="10" fillId="2" borderId="15" xfId="2" applyFill="1" applyBorder="1" applyAlignment="1">
      <alignment horizontal="center" vertical="center" wrapText="1"/>
    </xf>
    <xf numFmtId="0" fontId="2" fillId="2" borderId="0" xfId="3" applyFont="1" applyFill="1" applyAlignment="1">
      <alignment horizontal="left" vertical="center" wrapText="1" indent="1"/>
    </xf>
    <xf numFmtId="0" fontId="10" fillId="2" borderId="97" xfId="2" applyFill="1" applyBorder="1" applyAlignment="1">
      <alignment horizontal="center" vertical="center" wrapText="1"/>
    </xf>
    <xf numFmtId="0" fontId="10" fillId="2" borderId="0" xfId="2" applyFill="1" applyBorder="1" applyAlignment="1">
      <alignment horizontal="center" vertical="center" wrapText="1"/>
    </xf>
    <xf numFmtId="0" fontId="11" fillId="4" borderId="0" xfId="3" applyFont="1" applyFill="1" applyAlignment="1">
      <alignment horizontal="left" vertical="center" wrapText="1" indent="1"/>
    </xf>
    <xf numFmtId="0" fontId="12" fillId="2" borderId="0" xfId="1" applyFont="1" applyFill="1" applyAlignment="1">
      <alignment horizontal="left" vertical="center" wrapText="1" indent="1"/>
    </xf>
    <xf numFmtId="0" fontId="12" fillId="2" borderId="32" xfId="1" applyFont="1" applyFill="1" applyBorder="1" applyAlignment="1">
      <alignment horizontal="left" vertical="center" wrapText="1" indent="1"/>
    </xf>
    <xf numFmtId="0" fontId="14" fillId="0" borderId="0" xfId="4"/>
    <xf numFmtId="0" fontId="12" fillId="2" borderId="21" xfId="1" applyFont="1" applyFill="1" applyBorder="1" applyAlignment="1">
      <alignment horizontal="left" vertical="center" indent="1"/>
    </xf>
    <xf numFmtId="0" fontId="12" fillId="2" borderId="22" xfId="1" applyFont="1" applyFill="1" applyBorder="1" applyAlignment="1">
      <alignment horizontal="left" vertical="center" indent="1"/>
    </xf>
    <xf numFmtId="0" fontId="12" fillId="2" borderId="23" xfId="1" applyFont="1" applyFill="1" applyBorder="1" applyAlignment="1">
      <alignment horizontal="left" vertical="center" indent="1"/>
    </xf>
    <xf numFmtId="0" fontId="12" fillId="5" borderId="8" xfId="1" applyFont="1" applyFill="1" applyBorder="1" applyAlignment="1">
      <alignment horizontal="left" vertical="center" indent="1"/>
    </xf>
    <xf numFmtId="0" fontId="12" fillId="5" borderId="9" xfId="1" applyFont="1" applyFill="1" applyBorder="1" applyAlignment="1">
      <alignment horizontal="left" vertical="center" indent="1"/>
    </xf>
    <xf numFmtId="0" fontId="12" fillId="5" borderId="10" xfId="1" applyFont="1" applyFill="1" applyBorder="1" applyAlignment="1">
      <alignment horizontal="left" vertical="center" indent="1"/>
    </xf>
    <xf numFmtId="0" fontId="12" fillId="3" borderId="16" xfId="1" applyFont="1" applyFill="1" applyBorder="1" applyAlignment="1">
      <alignment horizontal="left" vertical="center" indent="1"/>
    </xf>
    <xf numFmtId="0" fontId="12" fillId="3" borderId="17" xfId="1" applyFont="1" applyFill="1" applyBorder="1" applyAlignment="1">
      <alignment horizontal="left" vertical="center" indent="1"/>
    </xf>
    <xf numFmtId="0" fontId="12" fillId="3" borderId="18" xfId="1" applyFont="1" applyFill="1" applyBorder="1" applyAlignment="1">
      <alignment horizontal="left" vertical="center" indent="1"/>
    </xf>
    <xf numFmtId="0" fontId="12" fillId="2" borderId="0" xfId="3" applyFont="1" applyFill="1" applyAlignment="1">
      <alignment horizontal="left" vertical="top" wrapText="1" indent="1"/>
    </xf>
    <xf numFmtId="0" fontId="17" fillId="0" borderId="0" xfId="1" applyFont="1" applyAlignment="1">
      <alignment horizontal="left" vertical="center" indent="1"/>
    </xf>
    <xf numFmtId="0" fontId="83" fillId="30" borderId="39" xfId="0" applyFont="1" applyFill="1" applyBorder="1" applyAlignment="1">
      <alignment horizontal="left" vertical="center" wrapText="1" indent="1"/>
    </xf>
    <xf numFmtId="0" fontId="86" fillId="0" borderId="24" xfId="0" applyFont="1" applyBorder="1" applyAlignment="1">
      <alignment horizontal="left" vertical="center" wrapText="1" indent="1"/>
    </xf>
    <xf numFmtId="0" fontId="86" fillId="0" borderId="41" xfId="0" applyFont="1" applyBorder="1" applyAlignment="1">
      <alignment horizontal="left" vertical="center" wrapText="1" indent="1"/>
    </xf>
    <xf numFmtId="0" fontId="10" fillId="2" borderId="0" xfId="2" applyFill="1" applyAlignment="1">
      <alignment horizontal="center" vertical="center"/>
    </xf>
    <xf numFmtId="0" fontId="0" fillId="2" borderId="0" xfId="0" applyFill="1" applyAlignment="1">
      <alignment horizontal="center" vertical="center"/>
    </xf>
    <xf numFmtId="0" fontId="12" fillId="2" borderId="24" xfId="3" applyFont="1" applyFill="1" applyBorder="1" applyAlignment="1">
      <alignment horizontal="left" vertical="center" wrapText="1" indent="1"/>
    </xf>
    <xf numFmtId="0" fontId="12" fillId="2" borderId="0" xfId="3" applyFont="1" applyFill="1" applyAlignment="1">
      <alignment horizontal="left" vertical="center" wrapText="1" indent="1"/>
    </xf>
    <xf numFmtId="0" fontId="12" fillId="2" borderId="24" xfId="1" applyFont="1" applyFill="1" applyBorder="1" applyAlignment="1">
      <alignment horizontal="left" vertical="center" wrapText="1" indent="1"/>
    </xf>
    <xf numFmtId="0" fontId="76" fillId="2" borderId="0" xfId="3" applyFont="1" applyFill="1" applyAlignment="1">
      <alignment horizontal="left" vertical="center" wrapText="1" indent="1"/>
    </xf>
    <xf numFmtId="0" fontId="10" fillId="2" borderId="0" xfId="2" applyFill="1" applyAlignment="1">
      <alignment horizontal="left" vertical="center" wrapText="1" indent="1"/>
    </xf>
    <xf numFmtId="3" fontId="12" fillId="2" borderId="36" xfId="0" applyNumberFormat="1" applyFont="1" applyFill="1" applyBorder="1" applyAlignment="1">
      <alignment horizontal="left" vertical="center" wrapText="1" indent="1"/>
    </xf>
    <xf numFmtId="3" fontId="12" fillId="2" borderId="22" xfId="0" applyNumberFormat="1" applyFont="1" applyFill="1" applyBorder="1" applyAlignment="1">
      <alignment horizontal="left" vertical="center" wrapText="1" indent="1"/>
    </xf>
    <xf numFmtId="3" fontId="10" fillId="5" borderId="58" xfId="2" applyNumberFormat="1" applyFill="1" applyBorder="1" applyAlignment="1">
      <alignment horizontal="left" vertical="center" wrapText="1" indent="1"/>
    </xf>
    <xf numFmtId="3" fontId="10" fillId="5" borderId="12" xfId="2" applyNumberFormat="1" applyFill="1" applyBorder="1" applyAlignment="1">
      <alignment horizontal="left" vertical="center" wrapText="1" indent="1"/>
    </xf>
    <xf numFmtId="3" fontId="12" fillId="5" borderId="58" xfId="0" applyNumberFormat="1" applyFont="1" applyFill="1" applyBorder="1" applyAlignment="1">
      <alignment horizontal="left" vertical="center" wrapText="1" indent="1"/>
    </xf>
    <xf numFmtId="3" fontId="12" fillId="5" borderId="12" xfId="0" applyNumberFormat="1" applyFont="1" applyFill="1" applyBorder="1" applyAlignment="1">
      <alignment horizontal="left" vertical="center" wrapText="1" indent="1"/>
    </xf>
    <xf numFmtId="166" fontId="12" fillId="2" borderId="58" xfId="0" applyNumberFormat="1" applyFont="1" applyFill="1" applyBorder="1" applyAlignment="1">
      <alignment horizontal="left" vertical="center" wrapText="1" indent="1"/>
    </xf>
    <xf numFmtId="166" fontId="12" fillId="2" borderId="12" xfId="0" applyNumberFormat="1" applyFont="1" applyFill="1" applyBorder="1" applyAlignment="1">
      <alignment horizontal="left" vertical="center" wrapText="1" indent="1"/>
    </xf>
    <xf numFmtId="9" fontId="12" fillId="3" borderId="33" xfId="0" applyNumberFormat="1" applyFont="1" applyFill="1" applyBorder="1" applyAlignment="1">
      <alignment horizontal="left" vertical="center" wrapText="1" indent="1"/>
    </xf>
    <xf numFmtId="9" fontId="12" fillId="3" borderId="6" xfId="0" applyNumberFormat="1" applyFont="1" applyFill="1" applyBorder="1" applyAlignment="1">
      <alignment horizontal="left" vertical="center" wrapText="1" indent="1"/>
    </xf>
    <xf numFmtId="9" fontId="12" fillId="2" borderId="36" xfId="0" applyNumberFormat="1" applyFont="1" applyFill="1" applyBorder="1" applyAlignment="1">
      <alignment horizontal="left" vertical="center" wrapText="1" indent="1"/>
    </xf>
    <xf numFmtId="9" fontId="12" fillId="2" borderId="22" xfId="0" applyNumberFormat="1" applyFont="1" applyFill="1" applyBorder="1" applyAlignment="1">
      <alignment horizontal="left" vertical="center" wrapText="1" indent="1"/>
    </xf>
    <xf numFmtId="9" fontId="12" fillId="2" borderId="35" xfId="0" applyNumberFormat="1" applyFont="1" applyFill="1" applyBorder="1" applyAlignment="1">
      <alignment horizontal="left" vertical="center" wrapText="1" indent="1"/>
    </xf>
    <xf numFmtId="9" fontId="12" fillId="2" borderId="17" xfId="0" applyNumberFormat="1" applyFont="1" applyFill="1" applyBorder="1" applyAlignment="1">
      <alignment horizontal="left" vertical="center" wrapText="1" indent="1"/>
    </xf>
    <xf numFmtId="0" fontId="12" fillId="2" borderId="27" xfId="1" applyFont="1" applyFill="1" applyBorder="1" applyAlignment="1">
      <alignment horizontal="left" vertical="center" wrapText="1" indent="1"/>
    </xf>
    <xf numFmtId="0" fontId="2" fillId="2" borderId="11" xfId="0" applyFont="1" applyFill="1" applyBorder="1" applyAlignment="1">
      <alignment horizontal="right" vertical="center" indent="1"/>
    </xf>
    <xf numFmtId="0" fontId="2" fillId="2" borderId="43" xfId="0" applyFont="1" applyFill="1" applyBorder="1" applyAlignment="1">
      <alignment horizontal="right" vertical="center" indent="1"/>
    </xf>
    <xf numFmtId="0" fontId="11" fillId="4" borderId="39" xfId="3" applyFont="1" applyFill="1" applyBorder="1" applyAlignment="1">
      <alignment horizontal="left" vertical="center" wrapText="1" indent="1"/>
    </xf>
    <xf numFmtId="0" fontId="11" fillId="4" borderId="24" xfId="3" applyFont="1" applyFill="1" applyBorder="1" applyAlignment="1">
      <alignment horizontal="left" vertical="center" wrapText="1" indent="1"/>
    </xf>
    <xf numFmtId="0" fontId="12" fillId="2" borderId="32" xfId="3" applyFont="1" applyFill="1" applyBorder="1" applyAlignment="1">
      <alignment horizontal="left" vertical="center" wrapText="1" indent="1"/>
    </xf>
    <xf numFmtId="0" fontId="21" fillId="2" borderId="0" xfId="3" applyFont="1" applyFill="1" applyAlignment="1">
      <alignment horizontal="left" vertical="center" wrapText="1" indent="1"/>
    </xf>
    <xf numFmtId="0" fontId="25" fillId="6" borderId="11" xfId="0" applyFont="1" applyFill="1" applyBorder="1" applyAlignment="1">
      <alignment horizontal="left" vertical="center" wrapText="1" indent="1"/>
    </xf>
    <xf numFmtId="0" fontId="25" fillId="6" borderId="12" xfId="0" applyFont="1" applyFill="1" applyBorder="1" applyAlignment="1">
      <alignment horizontal="left" vertical="center" wrapText="1" indent="1"/>
    </xf>
    <xf numFmtId="0" fontId="25" fillId="6" borderId="12" xfId="0" applyFont="1" applyFill="1" applyBorder="1" applyAlignment="1">
      <alignment horizontal="left" vertical="center" indent="1"/>
    </xf>
    <xf numFmtId="3" fontId="12" fillId="5" borderId="13" xfId="0" applyNumberFormat="1" applyFont="1" applyFill="1" applyBorder="1" applyAlignment="1">
      <alignment horizontal="left" vertical="center" wrapText="1" indent="1"/>
    </xf>
    <xf numFmtId="0" fontId="12" fillId="2" borderId="32" xfId="1" applyFont="1" applyFill="1" applyBorder="1" applyAlignment="1">
      <alignment horizontal="left" vertical="center" wrapText="1" indent="3"/>
    </xf>
    <xf numFmtId="0" fontId="12" fillId="2" borderId="0" xfId="1" applyFont="1" applyFill="1" applyAlignment="1">
      <alignment horizontal="left" vertical="center" wrapText="1" indent="3"/>
    </xf>
    <xf numFmtId="0" fontId="12" fillId="2" borderId="27" xfId="1" applyFont="1" applyFill="1" applyBorder="1" applyAlignment="1">
      <alignment horizontal="left" vertical="center" wrapText="1" indent="3"/>
    </xf>
    <xf numFmtId="0" fontId="21" fillId="2" borderId="32" xfId="1" applyFont="1" applyFill="1" applyBorder="1" applyAlignment="1">
      <alignment horizontal="left" vertical="center" wrapText="1" indent="3"/>
    </xf>
    <xf numFmtId="0" fontId="2" fillId="2" borderId="11" xfId="0" applyFont="1" applyFill="1" applyBorder="1" applyAlignment="1">
      <alignment horizontal="left" vertical="center" wrapText="1" indent="1"/>
    </xf>
    <xf numFmtId="0" fontId="2" fillId="2" borderId="43" xfId="0" applyFont="1" applyFill="1" applyBorder="1" applyAlignment="1">
      <alignment horizontal="left" vertical="center" wrapText="1" indent="1"/>
    </xf>
    <xf numFmtId="0" fontId="12" fillId="2" borderId="76" xfId="0" applyFont="1" applyFill="1" applyBorder="1" applyAlignment="1">
      <alignment horizontal="left" vertical="center" wrapText="1" indent="1"/>
    </xf>
    <xf numFmtId="0" fontId="12" fillId="2" borderId="77" xfId="0" applyFont="1" applyFill="1" applyBorder="1" applyAlignment="1">
      <alignment horizontal="left" vertical="center" wrapText="1" indent="1"/>
    </xf>
    <xf numFmtId="0" fontId="12" fillId="2" borderId="78" xfId="0" applyFont="1" applyFill="1" applyBorder="1" applyAlignment="1">
      <alignment horizontal="left" vertical="center" wrapText="1" indent="1"/>
    </xf>
    <xf numFmtId="0" fontId="23" fillId="0" borderId="0" xfId="1" applyFont="1" applyAlignment="1">
      <alignment horizontal="left" vertical="center" indent="1"/>
    </xf>
    <xf numFmtId="0" fontId="4" fillId="0" borderId="0" xfId="1" applyFont="1" applyAlignment="1">
      <alignment horizontal="left" vertical="center" indent="1"/>
    </xf>
    <xf numFmtId="0" fontId="2" fillId="6" borderId="50" xfId="0" applyFont="1" applyFill="1" applyBorder="1" applyAlignment="1">
      <alignment horizontal="left" vertical="center" indent="1"/>
    </xf>
    <xf numFmtId="0" fontId="2" fillId="6" borderId="29" xfId="0" applyFont="1" applyFill="1" applyBorder="1" applyAlignment="1">
      <alignment horizontal="left" vertical="center" indent="1"/>
    </xf>
    <xf numFmtId="0" fontId="8" fillId="6" borderId="39" xfId="0" applyFont="1" applyFill="1" applyBorder="1" applyAlignment="1">
      <alignment horizontal="left" vertical="center" indent="1"/>
    </xf>
    <xf numFmtId="0" fontId="8" fillId="6" borderId="24" xfId="0" applyFont="1" applyFill="1" applyBorder="1" applyAlignment="1">
      <alignment horizontal="left" vertical="center" indent="1"/>
    </xf>
    <xf numFmtId="0" fontId="8" fillId="6" borderId="41" xfId="0" applyFont="1" applyFill="1" applyBorder="1" applyAlignment="1">
      <alignment horizontal="left" vertical="center" indent="1"/>
    </xf>
    <xf numFmtId="0" fontId="10" fillId="2" borderId="32" xfId="2" applyFill="1" applyBorder="1" applyAlignment="1">
      <alignment horizontal="left" vertical="center" indent="1"/>
    </xf>
    <xf numFmtId="0" fontId="10" fillId="2" borderId="0" xfId="2" applyFill="1" applyBorder="1" applyAlignment="1">
      <alignment horizontal="left" vertical="center" indent="1"/>
    </xf>
    <xf numFmtId="0" fontId="10" fillId="2" borderId="27" xfId="2" applyFill="1" applyBorder="1" applyAlignment="1">
      <alignment horizontal="left" vertical="center" indent="1"/>
    </xf>
    <xf numFmtId="0" fontId="2" fillId="5" borderId="36" xfId="0" applyFont="1" applyFill="1" applyBorder="1" applyAlignment="1">
      <alignment horizontal="left" vertical="center" indent="1"/>
    </xf>
    <xf numFmtId="0" fontId="2" fillId="5" borderId="23" xfId="0" applyFont="1" applyFill="1" applyBorder="1" applyAlignment="1">
      <alignment horizontal="left" vertical="center" indent="1"/>
    </xf>
    <xf numFmtId="0" fontId="2" fillId="5" borderId="59" xfId="0" applyFont="1" applyFill="1" applyBorder="1" applyAlignment="1">
      <alignment horizontal="left" vertical="center" indent="1"/>
    </xf>
    <xf numFmtId="0" fontId="2" fillId="5" borderId="10" xfId="0"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24" xfId="0" applyFont="1" applyFill="1" applyBorder="1" applyAlignment="1">
      <alignment horizontal="left" vertical="center" indent="1"/>
    </xf>
    <xf numFmtId="0" fontId="12" fillId="29" borderId="90" xfId="1" applyFont="1" applyFill="1" applyBorder="1" applyAlignment="1">
      <alignment horizontal="left" vertical="center" indent="1"/>
    </xf>
    <xf numFmtId="0" fontId="12" fillId="29" borderId="44" xfId="1" applyFont="1" applyFill="1" applyBorder="1" applyAlignment="1">
      <alignment horizontal="left" vertical="center" indent="1"/>
    </xf>
    <xf numFmtId="0" fontId="12" fillId="27" borderId="3" xfId="1" applyFont="1" applyFill="1" applyBorder="1" applyAlignment="1">
      <alignment horizontal="left" vertical="center" indent="1"/>
    </xf>
    <xf numFmtId="0" fontId="12" fillId="27" borderId="4" xfId="1" applyFont="1" applyFill="1" applyBorder="1" applyAlignment="1">
      <alignment horizontal="left" vertical="center" indent="1"/>
    </xf>
    <xf numFmtId="0" fontId="18" fillId="11" borderId="52" xfId="1" applyFont="1" applyFill="1" applyBorder="1" applyAlignment="1">
      <alignment horizontal="center" vertical="center" wrapText="1"/>
    </xf>
    <xf numFmtId="0" fontId="18" fillId="11" borderId="63" xfId="1" applyFont="1" applyFill="1" applyBorder="1" applyAlignment="1">
      <alignment horizontal="center" vertical="center"/>
    </xf>
    <xf numFmtId="0" fontId="26" fillId="10" borderId="3" xfId="0" applyFont="1" applyFill="1" applyBorder="1" applyAlignment="1">
      <alignment horizontal="left" vertical="center" indent="1"/>
    </xf>
    <xf numFmtId="0" fontId="26" fillId="10" borderId="4" xfId="0" applyFont="1" applyFill="1" applyBorder="1" applyAlignment="1">
      <alignment horizontal="left" vertical="center" indent="1"/>
    </xf>
    <xf numFmtId="0" fontId="26" fillId="10" borderId="5" xfId="0" applyFont="1" applyFill="1" applyBorder="1" applyAlignment="1">
      <alignment horizontal="left" vertical="center" indent="1"/>
    </xf>
    <xf numFmtId="0" fontId="6" fillId="4" borderId="32" xfId="1" applyFont="1" applyFill="1" applyBorder="1" applyAlignment="1">
      <alignment horizontal="left" vertical="center" wrapText="1" indent="1"/>
    </xf>
    <xf numFmtId="0" fontId="6" fillId="4" borderId="0" xfId="1" applyFont="1" applyFill="1" applyAlignment="1">
      <alignment horizontal="left" vertical="center" wrapText="1" indent="1"/>
    </xf>
    <xf numFmtId="0" fontId="17" fillId="2" borderId="11" xfId="1" applyFont="1" applyFill="1" applyBorder="1" applyAlignment="1">
      <alignment horizontal="left" vertical="center" wrapText="1" indent="1"/>
    </xf>
    <xf numFmtId="0" fontId="17" fillId="2" borderId="12" xfId="1" applyFont="1" applyFill="1" applyBorder="1" applyAlignment="1">
      <alignment horizontal="left" vertical="center" wrapText="1" indent="1"/>
    </xf>
    <xf numFmtId="0" fontId="17" fillId="2" borderId="13" xfId="1" applyFont="1" applyFill="1" applyBorder="1" applyAlignment="1">
      <alignment horizontal="left" vertical="center" wrapText="1" indent="1"/>
    </xf>
    <xf numFmtId="0" fontId="65" fillId="2" borderId="0" xfId="1" applyFont="1" applyFill="1" applyAlignment="1">
      <alignment horizontal="left" vertical="center" wrapText="1" indent="1"/>
    </xf>
    <xf numFmtId="0" fontId="12" fillId="26" borderId="47" xfId="1" applyFont="1" applyFill="1" applyBorder="1" applyAlignment="1">
      <alignment horizontal="left" vertical="center" indent="1"/>
    </xf>
    <xf numFmtId="0" fontId="12" fillId="26" borderId="1" xfId="1" applyFont="1" applyFill="1" applyBorder="1" applyAlignment="1">
      <alignment horizontal="left" vertical="center" indent="1"/>
    </xf>
    <xf numFmtId="0" fontId="12" fillId="26" borderId="3" xfId="1" applyFont="1" applyFill="1" applyBorder="1" applyAlignment="1">
      <alignment horizontal="left" vertical="center" indent="1"/>
    </xf>
    <xf numFmtId="0" fontId="12" fillId="26" borderId="4" xfId="1" applyFont="1" applyFill="1" applyBorder="1" applyAlignment="1">
      <alignment horizontal="left" vertical="center" indent="1"/>
    </xf>
    <xf numFmtId="0" fontId="12" fillId="26" borderId="48" xfId="1" applyFont="1" applyFill="1" applyBorder="1" applyAlignment="1">
      <alignment horizontal="left" vertical="center" indent="1"/>
    </xf>
    <xf numFmtId="0" fontId="12" fillId="26" borderId="6" xfId="1" applyFont="1" applyFill="1" applyBorder="1" applyAlignment="1">
      <alignment horizontal="left" vertical="center" indent="1"/>
    </xf>
    <xf numFmtId="0" fontId="12" fillId="2" borderId="0" xfId="1" applyFont="1" applyFill="1" applyAlignment="1">
      <alignment horizontal="left" vertical="center" indent="1"/>
    </xf>
    <xf numFmtId="0" fontId="12" fillId="2" borderId="27" xfId="1" applyFont="1" applyFill="1" applyBorder="1" applyAlignment="1">
      <alignment horizontal="left" vertical="center" indent="1"/>
    </xf>
    <xf numFmtId="0" fontId="26" fillId="10" borderId="47" xfId="0" applyFont="1" applyFill="1" applyBorder="1" applyAlignment="1">
      <alignment horizontal="left" vertical="center" indent="1"/>
    </xf>
    <xf numFmtId="0" fontId="26" fillId="10" borderId="1" xfId="0" applyFont="1" applyFill="1" applyBorder="1" applyAlignment="1">
      <alignment horizontal="left" vertical="center" indent="1"/>
    </xf>
    <xf numFmtId="0" fontId="15" fillId="12" borderId="39" xfId="1" applyFont="1" applyFill="1" applyBorder="1" applyAlignment="1">
      <alignment horizontal="left" vertical="center" wrapText="1" indent="1"/>
    </xf>
    <xf numFmtId="0" fontId="15" fillId="12" borderId="24" xfId="1" applyFont="1" applyFill="1" applyBorder="1" applyAlignment="1">
      <alignment horizontal="left" vertical="center" wrapText="1" indent="1"/>
    </xf>
    <xf numFmtId="0" fontId="15" fillId="12" borderId="53" xfId="1" applyFont="1" applyFill="1" applyBorder="1" applyAlignment="1">
      <alignment horizontal="left" vertical="center" wrapText="1" indent="1"/>
    </xf>
    <xf numFmtId="0" fontId="15" fillId="12" borderId="32" xfId="1" applyFont="1" applyFill="1" applyBorder="1" applyAlignment="1">
      <alignment horizontal="left" vertical="center" wrapText="1" indent="1"/>
    </xf>
    <xf numFmtId="0" fontId="15" fillId="12" borderId="0" xfId="1" applyFont="1" applyFill="1" applyAlignment="1">
      <alignment horizontal="left" vertical="center" wrapText="1" indent="1"/>
    </xf>
    <xf numFmtId="0" fontId="15" fillId="12" borderId="40" xfId="1" applyFont="1" applyFill="1" applyBorder="1" applyAlignment="1">
      <alignment horizontal="left" vertical="center" wrapText="1" indent="1"/>
    </xf>
    <xf numFmtId="0" fontId="13" fillId="2" borderId="25" xfId="1" applyFont="1" applyFill="1" applyBorder="1" applyAlignment="1">
      <alignment horizontal="left" vertical="center" wrapText="1" indent="1"/>
    </xf>
    <xf numFmtId="0" fontId="13" fillId="2" borderId="73" xfId="1" applyFont="1" applyFill="1" applyBorder="1" applyAlignment="1">
      <alignment horizontal="left" vertical="center" wrapText="1" indent="1"/>
    </xf>
    <xf numFmtId="0" fontId="13" fillId="2" borderId="62" xfId="1" applyFont="1" applyFill="1" applyBorder="1" applyAlignment="1">
      <alignment horizontal="left" vertical="center" wrapText="1" indent="1"/>
    </xf>
    <xf numFmtId="0" fontId="26" fillId="10" borderId="2" xfId="0" applyFont="1" applyFill="1" applyBorder="1" applyAlignment="1">
      <alignment horizontal="left" vertical="center" indent="1"/>
    </xf>
    <xf numFmtId="0" fontId="52" fillId="2" borderId="32" xfId="2" applyFont="1" applyFill="1" applyBorder="1" applyAlignment="1">
      <alignment horizontal="left" vertical="center" wrapText="1" indent="1"/>
    </xf>
    <xf numFmtId="0" fontId="52" fillId="2" borderId="0" xfId="2" applyFont="1" applyFill="1" applyBorder="1" applyAlignment="1">
      <alignment horizontal="left" vertical="center" wrapText="1" indent="1"/>
    </xf>
    <xf numFmtId="0" fontId="52" fillId="2" borderId="27" xfId="2" applyFont="1" applyFill="1" applyBorder="1" applyAlignment="1">
      <alignment horizontal="left" vertical="center" wrapText="1" indent="1"/>
    </xf>
    <xf numFmtId="0" fontId="12" fillId="25" borderId="9" xfId="0" applyFont="1" applyFill="1" applyBorder="1" applyAlignment="1">
      <alignment horizontal="left" vertical="center" wrapText="1"/>
    </xf>
    <xf numFmtId="0" fontId="12" fillId="25" borderId="10" xfId="0" applyFont="1" applyFill="1" applyBorder="1" applyAlignment="1">
      <alignment horizontal="left" vertical="center" wrapText="1"/>
    </xf>
    <xf numFmtId="0" fontId="21" fillId="2" borderId="32" xfId="0" applyFont="1" applyFill="1" applyBorder="1" applyAlignment="1">
      <alignment horizontal="right" vertical="center" wrapText="1" indent="1"/>
    </xf>
    <xf numFmtId="0" fontId="21" fillId="2" borderId="0" xfId="0" applyFont="1" applyFill="1" applyAlignment="1">
      <alignment horizontal="right" vertical="center" wrapText="1" indent="1"/>
    </xf>
    <xf numFmtId="0" fontId="21" fillId="2" borderId="69" xfId="0" applyFont="1" applyFill="1" applyBorder="1" applyAlignment="1">
      <alignment horizontal="right" vertical="center" wrapText="1" indent="1"/>
    </xf>
    <xf numFmtId="0" fontId="21" fillId="2" borderId="21" xfId="0" applyFont="1" applyFill="1" applyBorder="1" applyAlignment="1">
      <alignment horizontal="left" vertical="center" wrapText="1" indent="1"/>
    </xf>
    <xf numFmtId="0" fontId="21" fillId="2" borderId="22" xfId="0" applyFont="1" applyFill="1" applyBorder="1" applyAlignment="1">
      <alignment horizontal="left" vertical="center" wrapText="1" indent="1"/>
    </xf>
    <xf numFmtId="0" fontId="21" fillId="2" borderId="19" xfId="0" applyFont="1" applyFill="1" applyBorder="1" applyAlignment="1">
      <alignment horizontal="left" vertical="center" wrapText="1" indent="1"/>
    </xf>
    <xf numFmtId="0" fontId="12" fillId="2" borderId="28" xfId="1" applyFont="1" applyFill="1" applyBorder="1" applyAlignment="1">
      <alignment horizontal="left" vertical="center" wrapText="1" indent="1"/>
    </xf>
    <xf numFmtId="0" fontId="12" fillId="2" borderId="15" xfId="1" applyFont="1" applyFill="1" applyBorder="1" applyAlignment="1">
      <alignment horizontal="left" vertical="center" wrapText="1" indent="1"/>
    </xf>
    <xf numFmtId="0" fontId="12" fillId="2" borderId="29" xfId="1" applyFont="1" applyFill="1" applyBorder="1" applyAlignment="1">
      <alignment horizontal="left" vertical="center" wrapText="1" indent="1"/>
    </xf>
    <xf numFmtId="0" fontId="73" fillId="2" borderId="32" xfId="1" applyFont="1" applyFill="1" applyBorder="1" applyAlignment="1">
      <alignment horizontal="left" vertical="center" wrapText="1" indent="1"/>
    </xf>
    <xf numFmtId="0" fontId="73" fillId="2" borderId="0" xfId="1" applyFont="1" applyFill="1" applyAlignment="1">
      <alignment horizontal="left" vertical="center" wrapText="1" indent="1"/>
    </xf>
    <xf numFmtId="0" fontId="15" fillId="11" borderId="32" xfId="1" applyFont="1" applyFill="1" applyBorder="1" applyAlignment="1">
      <alignment horizontal="left" vertical="center" wrapText="1" indent="1"/>
    </xf>
    <xf numFmtId="0" fontId="15" fillId="11" borderId="0" xfId="1" applyFont="1" applyFill="1" applyAlignment="1">
      <alignment horizontal="left" vertical="center" wrapText="1" indent="1"/>
    </xf>
    <xf numFmtId="0" fontId="15" fillId="11" borderId="40" xfId="1" applyFont="1" applyFill="1" applyBorder="1" applyAlignment="1">
      <alignment horizontal="left" vertical="center" wrapText="1" indent="1"/>
    </xf>
    <xf numFmtId="0" fontId="26" fillId="8" borderId="3" xfId="0" applyFont="1" applyFill="1" applyBorder="1" applyAlignment="1">
      <alignment horizontal="left" vertical="center" indent="1"/>
    </xf>
    <xf numFmtId="0" fontId="26" fillId="8" borderId="4" xfId="0" applyFont="1" applyFill="1" applyBorder="1" applyAlignment="1">
      <alignment horizontal="left" vertical="center" indent="1"/>
    </xf>
    <xf numFmtId="0" fontId="26" fillId="8" borderId="48" xfId="0" applyFont="1" applyFill="1" applyBorder="1" applyAlignment="1">
      <alignment horizontal="left" vertical="center" indent="1"/>
    </xf>
    <xf numFmtId="0" fontId="26" fillId="8" borderId="6" xfId="0" applyFont="1" applyFill="1" applyBorder="1" applyAlignment="1">
      <alignment horizontal="left" vertical="center" indent="1"/>
    </xf>
    <xf numFmtId="0" fontId="2" fillId="2" borderId="32" xfId="0" applyFont="1" applyFill="1" applyBorder="1" applyAlignment="1">
      <alignment horizontal="left" vertical="center" indent="1"/>
    </xf>
    <xf numFmtId="0" fontId="2" fillId="2" borderId="0" xfId="0" applyFont="1" applyFill="1" applyAlignment="1">
      <alignment horizontal="left" vertical="center" indent="1"/>
    </xf>
    <xf numFmtId="0" fontId="21" fillId="2" borderId="0" xfId="1" applyFont="1" applyFill="1" applyAlignment="1">
      <alignment horizontal="left" vertical="center" wrapText="1" indent="1"/>
    </xf>
    <xf numFmtId="0" fontId="13" fillId="2" borderId="39" xfId="1" applyFont="1" applyFill="1" applyBorder="1" applyAlignment="1">
      <alignment horizontal="left" vertical="center" wrapText="1" indent="1"/>
    </xf>
    <xf numFmtId="0" fontId="13" fillId="2" borderId="41" xfId="1" applyFont="1" applyFill="1" applyBorder="1" applyAlignment="1">
      <alignment horizontal="left" vertical="center" wrapText="1" indent="1"/>
    </xf>
    <xf numFmtId="0" fontId="13" fillId="2" borderId="32" xfId="1" applyFont="1" applyFill="1" applyBorder="1" applyAlignment="1">
      <alignment horizontal="left" vertical="center" wrapText="1" indent="1"/>
    </xf>
    <xf numFmtId="0" fontId="13" fillId="2" borderId="27" xfId="1" applyFont="1" applyFill="1" applyBorder="1" applyAlignment="1">
      <alignment horizontal="left" vertical="center" wrapText="1" indent="1"/>
    </xf>
    <xf numFmtId="0" fontId="13" fillId="2" borderId="28" xfId="1" applyFont="1" applyFill="1" applyBorder="1" applyAlignment="1">
      <alignment horizontal="left" vertical="center" wrapText="1" indent="1"/>
    </xf>
    <xf numFmtId="0" fontId="13" fillId="2" borderId="29" xfId="1" applyFont="1" applyFill="1" applyBorder="1" applyAlignment="1">
      <alignment horizontal="left" vertical="center" wrapText="1" indent="1"/>
    </xf>
    <xf numFmtId="0" fontId="22" fillId="2" borderId="11"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58" fillId="5" borderId="8" xfId="0" applyFont="1" applyFill="1" applyBorder="1" applyAlignment="1">
      <alignment horizontal="left" vertical="center" indent="1"/>
    </xf>
    <xf numFmtId="0" fontId="58" fillId="5" borderId="10" xfId="0" applyFont="1" applyFill="1" applyBorder="1" applyAlignment="1">
      <alignment horizontal="left" vertical="center" indent="1"/>
    </xf>
    <xf numFmtId="0" fontId="58" fillId="5" borderId="21" xfId="0" applyFont="1" applyFill="1" applyBorder="1" applyAlignment="1">
      <alignment horizontal="left" vertical="center" indent="1"/>
    </xf>
    <xf numFmtId="0" fontId="58" fillId="5" borderId="23" xfId="0" applyFont="1" applyFill="1" applyBorder="1" applyAlignment="1">
      <alignment horizontal="left" vertical="center" indent="1"/>
    </xf>
    <xf numFmtId="0" fontId="26" fillId="7" borderId="21" xfId="3" applyFont="1" applyFill="1" applyBorder="1" applyAlignment="1">
      <alignment horizontal="center"/>
    </xf>
    <xf numFmtId="0" fontId="26" fillId="7" borderId="22" xfId="3" applyFont="1" applyFill="1" applyBorder="1" applyAlignment="1">
      <alignment horizontal="center"/>
    </xf>
    <xf numFmtId="0" fontId="26" fillId="7" borderId="23" xfId="3" applyFont="1" applyFill="1" applyBorder="1" applyAlignment="1">
      <alignment horizontal="center"/>
    </xf>
    <xf numFmtId="0" fontId="22" fillId="2" borderId="83" xfId="1" applyFont="1" applyFill="1" applyBorder="1" applyAlignment="1">
      <alignment horizontal="right" vertical="center" wrapText="1" indent="1"/>
    </xf>
    <xf numFmtId="0" fontId="22" fillId="2" borderId="45" xfId="1" applyFont="1" applyFill="1" applyBorder="1" applyAlignment="1">
      <alignment horizontal="right" vertical="center" wrapText="1" indent="1"/>
    </xf>
    <xf numFmtId="0" fontId="26" fillId="7" borderId="21" xfId="3" applyFont="1" applyFill="1" applyBorder="1" applyAlignment="1">
      <alignment horizontal="center" vertical="center"/>
    </xf>
    <xf numFmtId="0" fontId="26" fillId="7" borderId="23" xfId="3" applyFont="1" applyFill="1" applyBorder="1" applyAlignment="1">
      <alignment horizontal="center" vertical="center"/>
    </xf>
    <xf numFmtId="0" fontId="4" fillId="2" borderId="1" xfId="1" applyFont="1" applyFill="1" applyBorder="1" applyAlignment="1">
      <alignment horizontal="left" vertical="center" indent="1"/>
    </xf>
    <xf numFmtId="0" fontId="4" fillId="2" borderId="2" xfId="1" applyFont="1" applyFill="1" applyBorder="1" applyAlignment="1">
      <alignment horizontal="left" vertical="center" indent="1"/>
    </xf>
    <xf numFmtId="0" fontId="13" fillId="2" borderId="70" xfId="1" applyFont="1" applyFill="1" applyBorder="1" applyAlignment="1">
      <alignment horizontal="left" vertical="center" wrapText="1" indent="1"/>
    </xf>
    <xf numFmtId="0" fontId="13" fillId="2" borderId="37" xfId="1" applyFont="1" applyFill="1" applyBorder="1" applyAlignment="1">
      <alignment horizontal="left" vertical="center" wrapText="1" indent="1"/>
    </xf>
    <xf numFmtId="0" fontId="69" fillId="2" borderId="33" xfId="1" applyFont="1" applyFill="1" applyBorder="1" applyAlignment="1">
      <alignment horizontal="left" vertical="center" wrapText="1" indent="1"/>
    </xf>
    <xf numFmtId="0" fontId="26" fillId="10" borderId="48" xfId="0" applyFont="1" applyFill="1" applyBorder="1" applyAlignment="1">
      <alignment horizontal="left" vertical="center" indent="1"/>
    </xf>
    <xf numFmtId="0" fontId="26" fillId="10" borderId="6" xfId="0" applyFont="1" applyFill="1" applyBorder="1" applyAlignment="1">
      <alignment horizontal="left" vertical="center" indent="1"/>
    </xf>
    <xf numFmtId="0" fontId="26" fillId="5" borderId="59" xfId="0" applyFont="1" applyFill="1" applyBorder="1" applyAlignment="1">
      <alignment wrapText="1"/>
    </xf>
    <xf numFmtId="0" fontId="26" fillId="5" borderId="10" xfId="0" applyFont="1" applyFill="1" applyBorder="1" applyAlignment="1">
      <alignment wrapText="1"/>
    </xf>
    <xf numFmtId="0" fontId="26" fillId="5" borderId="36" xfId="0" applyFont="1" applyFill="1" applyBorder="1" applyAlignment="1">
      <alignment wrapText="1"/>
    </xf>
    <xf numFmtId="0" fontId="26" fillId="5" borderId="23" xfId="0" applyFont="1" applyFill="1" applyBorder="1" applyAlignment="1">
      <alignment wrapText="1"/>
    </xf>
    <xf numFmtId="0" fontId="22" fillId="2" borderId="31" xfId="1" applyFont="1" applyFill="1" applyBorder="1" applyAlignment="1">
      <alignment horizontal="right" vertical="center" wrapText="1" indent="1"/>
    </xf>
    <xf numFmtId="0" fontId="15" fillId="13" borderId="39" xfId="1" applyFont="1" applyFill="1" applyBorder="1" applyAlignment="1">
      <alignment horizontal="left" vertical="center" wrapText="1" indent="1"/>
    </xf>
    <xf numFmtId="0" fontId="15" fillId="13" borderId="24" xfId="1" applyFont="1" applyFill="1" applyBorder="1" applyAlignment="1">
      <alignment horizontal="left" vertical="center" wrapText="1" indent="1"/>
    </xf>
    <xf numFmtId="0" fontId="15" fillId="13" borderId="53" xfId="1" applyFont="1" applyFill="1" applyBorder="1" applyAlignment="1">
      <alignment horizontal="left" vertical="center" wrapText="1" indent="1"/>
    </xf>
    <xf numFmtId="0" fontId="15" fillId="13" borderId="32" xfId="1" applyFont="1" applyFill="1" applyBorder="1" applyAlignment="1">
      <alignment horizontal="left" vertical="center" wrapText="1" indent="1"/>
    </xf>
    <xf numFmtId="0" fontId="15" fillId="13" borderId="0" xfId="1" applyFont="1" applyFill="1" applyAlignment="1">
      <alignment horizontal="left" vertical="center" wrapText="1" indent="1"/>
    </xf>
    <xf numFmtId="0" fontId="15" fillId="13" borderId="40" xfId="1" applyFont="1" applyFill="1" applyBorder="1" applyAlignment="1">
      <alignment horizontal="left" vertical="center" wrapText="1" indent="1"/>
    </xf>
    <xf numFmtId="0" fontId="18" fillId="13" borderId="52" xfId="1" applyFont="1" applyFill="1" applyBorder="1" applyAlignment="1">
      <alignment horizontal="center" vertical="center" wrapText="1"/>
    </xf>
    <xf numFmtId="0" fontId="18" fillId="13" borderId="63" xfId="1" applyFont="1" applyFill="1" applyBorder="1" applyAlignment="1">
      <alignment horizontal="center" vertical="center"/>
    </xf>
    <xf numFmtId="0" fontId="4" fillId="2" borderId="4" xfId="1" applyFont="1" applyFill="1" applyBorder="1" applyAlignment="1">
      <alignment horizontal="left" vertical="center" indent="1"/>
    </xf>
    <xf numFmtId="0" fontId="4" fillId="2" borderId="5" xfId="1" applyFont="1" applyFill="1" applyBorder="1" applyAlignment="1">
      <alignment horizontal="left" vertical="center" indent="1"/>
    </xf>
    <xf numFmtId="0" fontId="12" fillId="2" borderId="39" xfId="1" applyFont="1" applyFill="1" applyBorder="1" applyAlignment="1">
      <alignment horizontal="left" vertical="center" wrapText="1" indent="1"/>
    </xf>
    <xf numFmtId="0" fontId="12" fillId="2" borderId="41" xfId="1" applyFont="1" applyFill="1" applyBorder="1" applyAlignment="1">
      <alignment horizontal="left" vertical="center" wrapText="1" indent="1"/>
    </xf>
    <xf numFmtId="9" fontId="25" fillId="3" borderId="41" xfId="1" applyNumberFormat="1" applyFont="1" applyFill="1" applyBorder="1" applyAlignment="1">
      <alignment horizontal="center" vertical="center"/>
    </xf>
    <xf numFmtId="9" fontId="25" fillId="3" borderId="27" xfId="1" applyNumberFormat="1" applyFont="1" applyFill="1" applyBorder="1" applyAlignment="1">
      <alignment horizontal="center" vertical="center"/>
    </xf>
    <xf numFmtId="0" fontId="13" fillId="2" borderId="11" xfId="1" applyFont="1" applyFill="1" applyBorder="1" applyAlignment="1">
      <alignment horizontal="left" vertical="center" wrapText="1" indent="1"/>
    </xf>
    <xf numFmtId="0" fontId="13" fillId="2" borderId="12" xfId="1" applyFont="1" applyFill="1" applyBorder="1" applyAlignment="1">
      <alignment horizontal="left" vertical="center" wrapText="1" indent="1"/>
    </xf>
    <xf numFmtId="0" fontId="13" fillId="2" borderId="13" xfId="1" applyFont="1" applyFill="1" applyBorder="1" applyAlignment="1">
      <alignment horizontal="left" vertical="center" wrapText="1" indent="1"/>
    </xf>
    <xf numFmtId="0" fontId="13" fillId="2" borderId="72" xfId="1" applyFont="1" applyFill="1" applyBorder="1" applyAlignment="1">
      <alignment horizontal="left" vertical="center" wrapText="1" indent="1"/>
    </xf>
    <xf numFmtId="0" fontId="13" fillId="2" borderId="75" xfId="1" applyFont="1" applyFill="1" applyBorder="1" applyAlignment="1">
      <alignment horizontal="left" vertical="center" wrapText="1" indent="1"/>
    </xf>
    <xf numFmtId="0" fontId="13" fillId="2" borderId="2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8" fillId="12" borderId="52" xfId="1" applyFont="1" applyFill="1" applyBorder="1" applyAlignment="1">
      <alignment horizontal="center" vertical="center" wrapText="1"/>
    </xf>
    <xf numFmtId="0" fontId="18" fillId="12" borderId="63" xfId="1" applyFont="1" applyFill="1" applyBorder="1" applyAlignment="1">
      <alignment horizontal="center" vertical="center"/>
    </xf>
    <xf numFmtId="0" fontId="26" fillId="10" borderId="59" xfId="0" applyFont="1" applyFill="1" applyBorder="1" applyAlignment="1">
      <alignment horizontal="left" vertical="center" indent="1"/>
    </xf>
    <xf numFmtId="0" fontId="26" fillId="10" borderId="14" xfId="0" applyFont="1" applyFill="1" applyBorder="1" applyAlignment="1">
      <alignment horizontal="left" vertical="center" indent="1"/>
    </xf>
    <xf numFmtId="0" fontId="58" fillId="5" borderId="16" xfId="0" applyFont="1" applyFill="1" applyBorder="1" applyAlignment="1">
      <alignment horizontal="left" vertical="center" indent="1"/>
    </xf>
    <xf numFmtId="0" fontId="58" fillId="5" borderId="18" xfId="0" applyFont="1" applyFill="1" applyBorder="1" applyAlignment="1">
      <alignment horizontal="left" vertical="center" indent="1"/>
    </xf>
    <xf numFmtId="0" fontId="22" fillId="2" borderId="11" xfId="1" applyFont="1" applyFill="1" applyBorder="1" applyAlignment="1">
      <alignment horizontal="left" vertical="center" wrapText="1" indent="1"/>
    </xf>
    <xf numFmtId="0" fontId="22" fillId="2" borderId="13" xfId="1" applyFont="1" applyFill="1" applyBorder="1" applyAlignment="1">
      <alignment horizontal="left" vertical="center" wrapText="1" indent="1"/>
    </xf>
    <xf numFmtId="0" fontId="51" fillId="2" borderId="25" xfId="1" applyFont="1" applyFill="1" applyBorder="1" applyAlignment="1">
      <alignment horizontal="left" vertical="center" wrapText="1" indent="1"/>
    </xf>
    <xf numFmtId="0" fontId="51" fillId="2" borderId="62" xfId="1" applyFont="1" applyFill="1" applyBorder="1" applyAlignment="1">
      <alignment horizontal="left" vertical="center" wrapText="1" indent="1"/>
    </xf>
    <xf numFmtId="0" fontId="26" fillId="10" borderId="35" xfId="0" applyFont="1" applyFill="1" applyBorder="1" applyAlignment="1">
      <alignment horizontal="left" vertical="center" indent="1"/>
    </xf>
    <xf numFmtId="0" fontId="26" fillId="10" borderId="20" xfId="0" applyFont="1" applyFill="1" applyBorder="1" applyAlignment="1">
      <alignment horizontal="left" vertical="center" indent="1"/>
    </xf>
    <xf numFmtId="0" fontId="4" fillId="0" borderId="39" xfId="1" applyFont="1" applyBorder="1" applyAlignment="1">
      <alignment horizontal="left" vertical="center" indent="1"/>
    </xf>
    <xf numFmtId="0" fontId="4" fillId="0" borderId="24" xfId="1" applyFont="1" applyBorder="1" applyAlignment="1">
      <alignment horizontal="left" vertical="center" indent="1"/>
    </xf>
    <xf numFmtId="0" fontId="13" fillId="2" borderId="47" xfId="1" applyFont="1" applyFill="1" applyBorder="1" applyAlignment="1">
      <alignment horizontal="left" vertical="center" wrapText="1" indent="1"/>
    </xf>
    <xf numFmtId="0" fontId="13" fillId="2" borderId="3" xfId="1" applyFont="1" applyFill="1" applyBorder="1" applyAlignment="1">
      <alignment horizontal="left" vertical="center" wrapText="1" indent="1"/>
    </xf>
    <xf numFmtId="0" fontId="26" fillId="10" borderId="8" xfId="0" applyFont="1" applyFill="1" applyBorder="1" applyAlignment="1">
      <alignment horizontal="left" vertical="center"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0" fontId="20" fillId="0" borderId="32" xfId="1" applyFont="1" applyBorder="1" applyAlignment="1">
      <alignment horizontal="center" vertical="center"/>
    </xf>
    <xf numFmtId="0" fontId="22" fillId="2" borderId="12" xfId="1" applyFont="1" applyFill="1" applyBorder="1" applyAlignment="1">
      <alignment horizontal="left" vertical="center" wrapText="1" indent="1"/>
    </xf>
    <xf numFmtId="0" fontId="7" fillId="11" borderId="92" xfId="1" applyFont="1" applyFill="1" applyBorder="1" applyAlignment="1">
      <alignment horizontal="left" vertical="center" wrapText="1" indent="1"/>
    </xf>
    <xf numFmtId="0" fontId="7" fillId="11" borderId="91" xfId="1" applyFont="1" applyFill="1" applyBorder="1" applyAlignment="1">
      <alignment horizontal="left" vertical="center" wrapText="1" indent="1"/>
    </xf>
    <xf numFmtId="0" fontId="13" fillId="2" borderId="58" xfId="1" applyFont="1" applyFill="1" applyBorder="1" applyAlignment="1">
      <alignment horizontal="left" vertical="center" wrapText="1" indent="1"/>
    </xf>
    <xf numFmtId="0" fontId="18" fillId="11" borderId="63" xfId="1" applyFont="1" applyFill="1" applyBorder="1" applyAlignment="1">
      <alignment horizontal="center" vertical="center" wrapText="1"/>
    </xf>
    <xf numFmtId="0" fontId="15" fillId="11" borderId="39" xfId="1" applyFont="1" applyFill="1" applyBorder="1" applyAlignment="1">
      <alignment horizontal="left" vertical="center" wrapText="1" indent="1"/>
    </xf>
    <xf numFmtId="0" fontId="15" fillId="11" borderId="24" xfId="1" applyFont="1" applyFill="1" applyBorder="1" applyAlignment="1">
      <alignment horizontal="left" vertical="center" wrapText="1" indent="1"/>
    </xf>
    <xf numFmtId="0" fontId="15" fillId="11" borderId="53" xfId="1" applyFont="1" applyFill="1" applyBorder="1" applyAlignment="1">
      <alignment horizontal="left" vertical="center" wrapText="1" indent="1"/>
    </xf>
    <xf numFmtId="0" fontId="15" fillId="11" borderId="107" xfId="1" applyFont="1" applyFill="1" applyBorder="1" applyAlignment="1">
      <alignment horizontal="left" vertical="center" wrapText="1" indent="1"/>
    </xf>
    <xf numFmtId="0" fontId="15" fillId="11" borderId="30" xfId="1" applyFont="1" applyFill="1" applyBorder="1" applyAlignment="1">
      <alignment horizontal="left" vertical="center" wrapText="1" indent="1"/>
    </xf>
    <xf numFmtId="0" fontId="15" fillId="11" borderId="106" xfId="1" applyFont="1" applyFill="1" applyBorder="1" applyAlignment="1">
      <alignment horizontal="left" vertical="center" wrapText="1" indent="1"/>
    </xf>
    <xf numFmtId="0" fontId="13" fillId="2" borderId="24" xfId="1" applyFont="1" applyFill="1" applyBorder="1" applyAlignment="1">
      <alignment horizontal="left" vertical="center" wrapText="1" indent="1"/>
    </xf>
    <xf numFmtId="0" fontId="13" fillId="2" borderId="15" xfId="1" applyFont="1" applyFill="1" applyBorder="1" applyAlignment="1">
      <alignment horizontal="left" vertical="center" wrapText="1" indent="1"/>
    </xf>
    <xf numFmtId="0" fontId="26" fillId="8" borderId="42" xfId="0" applyFont="1" applyFill="1" applyBorder="1" applyAlignment="1">
      <alignment horizontal="left" vertical="center" indent="1"/>
    </xf>
    <xf numFmtId="0" fontId="4" fillId="2" borderId="48" xfId="0" applyFont="1" applyFill="1" applyBorder="1" applyAlignment="1">
      <alignment horizontal="left" vertical="center" indent="1"/>
    </xf>
    <xf numFmtId="0" fontId="4" fillId="2" borderId="6" xfId="0" applyFont="1" applyFill="1" applyBorder="1" applyAlignment="1">
      <alignment horizontal="left" vertical="center" indent="1"/>
    </xf>
    <xf numFmtId="0" fontId="4" fillId="2" borderId="75" xfId="0" applyFont="1" applyFill="1" applyBorder="1" applyAlignment="1">
      <alignment horizontal="left" vertical="center" indent="1"/>
    </xf>
    <xf numFmtId="0" fontId="4" fillId="2" borderId="26" xfId="0" applyFont="1" applyFill="1" applyBorder="1" applyAlignment="1">
      <alignment horizontal="left" vertical="center" indent="1"/>
    </xf>
    <xf numFmtId="0" fontId="26" fillId="5" borderId="35" xfId="0" applyFont="1" applyFill="1" applyBorder="1" applyAlignment="1">
      <alignment wrapText="1"/>
    </xf>
    <xf numFmtId="0" fontId="26" fillId="5" borderId="18" xfId="0" applyFont="1" applyFill="1" applyBorder="1" applyAlignment="1">
      <alignment wrapText="1"/>
    </xf>
    <xf numFmtId="0" fontId="54" fillId="5" borderId="55" xfId="0" applyFont="1" applyFill="1" applyBorder="1" applyAlignment="1">
      <alignment horizontal="left" wrapText="1" indent="1"/>
    </xf>
    <xf numFmtId="0" fontId="54" fillId="5" borderId="54" xfId="0" applyFont="1" applyFill="1" applyBorder="1" applyAlignment="1">
      <alignment horizontal="left" wrapText="1" indent="1"/>
    </xf>
    <xf numFmtId="0" fontId="54" fillId="5" borderId="9" xfId="0" applyFont="1" applyFill="1" applyBorder="1" applyAlignment="1">
      <alignment horizontal="left" wrapText="1" indent="1"/>
    </xf>
    <xf numFmtId="0" fontId="54" fillId="5" borderId="10" xfId="0" applyFont="1" applyFill="1" applyBorder="1" applyAlignment="1">
      <alignment horizontal="left" wrapText="1" indent="1"/>
    </xf>
    <xf numFmtId="0" fontId="54" fillId="5" borderId="17" xfId="0" applyFont="1" applyFill="1" applyBorder="1" applyAlignment="1">
      <alignment horizontal="left" wrapText="1" indent="1"/>
    </xf>
    <xf numFmtId="0" fontId="54" fillId="5" borderId="18" xfId="0" applyFont="1" applyFill="1" applyBorder="1" applyAlignment="1">
      <alignment horizontal="left" wrapText="1" indent="1"/>
    </xf>
    <xf numFmtId="0" fontId="26" fillId="0" borderId="0" xfId="0" applyFont="1" applyAlignment="1">
      <alignment wrapText="1"/>
    </xf>
    <xf numFmtId="0" fontId="13" fillId="2" borderId="83" xfId="1" applyFont="1" applyFill="1" applyBorder="1" applyAlignment="1">
      <alignment horizontal="left" vertical="center" wrapText="1" indent="1"/>
    </xf>
    <xf numFmtId="0" fontId="13" fillId="2" borderId="45" xfId="1" applyFont="1" applyFill="1" applyBorder="1" applyAlignment="1">
      <alignment horizontal="left" vertical="center" wrapText="1" indent="1"/>
    </xf>
    <xf numFmtId="0" fontId="22" fillId="2" borderId="12" xfId="1" applyFont="1" applyFill="1" applyBorder="1" applyAlignment="1">
      <alignment horizontal="center" vertical="center" wrapText="1"/>
    </xf>
    <xf numFmtId="0" fontId="13" fillId="2" borderId="38" xfId="1" applyFont="1" applyFill="1" applyBorder="1" applyAlignment="1">
      <alignment horizontal="left" vertical="center" wrapText="1" indent="1"/>
    </xf>
    <xf numFmtId="0" fontId="13" fillId="2" borderId="69" xfId="1" applyFont="1" applyFill="1" applyBorder="1" applyAlignment="1">
      <alignment horizontal="left" vertical="center" wrapText="1" indent="1"/>
    </xf>
    <xf numFmtId="0" fontId="13" fillId="2" borderId="49" xfId="1" applyFont="1" applyFill="1" applyBorder="1" applyAlignment="1">
      <alignment horizontal="left" vertical="center" wrapText="1" indent="1"/>
    </xf>
    <xf numFmtId="0" fontId="2" fillId="2" borderId="39" xfId="1" applyFont="1" applyFill="1" applyBorder="1" applyAlignment="1">
      <alignment horizontal="left" vertical="center" wrapText="1" indent="1"/>
    </xf>
    <xf numFmtId="0" fontId="2" fillId="2" borderId="32" xfId="1" applyFont="1" applyFill="1" applyBorder="1" applyAlignment="1">
      <alignment horizontal="left" vertical="center" wrapText="1" indent="1"/>
    </xf>
    <xf numFmtId="0" fontId="13" fillId="2" borderId="26" xfId="1" applyFont="1" applyFill="1" applyBorder="1" applyAlignment="1">
      <alignment horizontal="left" vertical="center" wrapText="1" indent="1"/>
    </xf>
    <xf numFmtId="0" fontId="56" fillId="0" borderId="32" xfId="1" applyFont="1" applyBorder="1" applyAlignment="1">
      <alignment horizontal="center" vertical="center"/>
    </xf>
    <xf numFmtId="0" fontId="54" fillId="14" borderId="21" xfId="3" applyFont="1" applyFill="1" applyBorder="1" applyAlignment="1">
      <alignment horizontal="left" vertical="center" wrapText="1" indent="1"/>
    </xf>
    <xf numFmtId="0" fontId="54" fillId="14" borderId="22" xfId="3" applyFont="1" applyFill="1" applyBorder="1" applyAlignment="1">
      <alignment horizontal="left" vertical="center" wrapText="1" indent="1"/>
    </xf>
    <xf numFmtId="0" fontId="54" fillId="14" borderId="19" xfId="3" applyFont="1" applyFill="1" applyBorder="1" applyAlignment="1">
      <alignment horizontal="left" vertical="center" wrapText="1" indent="1"/>
    </xf>
    <xf numFmtId="0" fontId="33" fillId="22" borderId="11" xfId="3" applyFont="1" applyFill="1" applyBorder="1" applyAlignment="1">
      <alignment horizontal="center" vertical="center" wrapText="1"/>
    </xf>
    <xf numFmtId="0" fontId="33" fillId="22" borderId="12" xfId="3" applyFont="1" applyFill="1" applyBorder="1" applyAlignment="1">
      <alignment horizontal="center" vertical="center" wrapText="1"/>
    </xf>
    <xf numFmtId="0" fontId="33" fillId="22" borderId="13" xfId="3" applyFont="1" applyFill="1" applyBorder="1" applyAlignment="1">
      <alignment horizontal="center" vertical="center" wrapText="1"/>
    </xf>
    <xf numFmtId="0" fontId="2" fillId="2" borderId="24" xfId="1" applyFont="1" applyFill="1" applyBorder="1" applyAlignment="1">
      <alignment horizontal="left" vertical="center" wrapText="1" indent="1"/>
    </xf>
    <xf numFmtId="0" fontId="26" fillId="5" borderId="8" xfId="0" applyFont="1" applyFill="1" applyBorder="1" applyAlignment="1">
      <alignment wrapText="1"/>
    </xf>
    <xf numFmtId="0" fontId="54" fillId="14" borderId="48" xfId="3" applyFont="1" applyFill="1" applyBorder="1" applyAlignment="1">
      <alignment horizontal="left" vertical="center" wrapText="1" indent="1"/>
    </xf>
    <xf numFmtId="0" fontId="54" fillId="14" borderId="6" xfId="3" applyFont="1" applyFill="1" applyBorder="1" applyAlignment="1">
      <alignment horizontal="left" vertical="center" wrapText="1" indent="1"/>
    </xf>
    <xf numFmtId="0" fontId="54" fillId="14" borderId="3" xfId="3" applyFont="1" applyFill="1" applyBorder="1" applyAlignment="1">
      <alignment horizontal="left" vertical="center" wrapText="1" indent="1"/>
    </xf>
    <xf numFmtId="0" fontId="54" fillId="14" borderId="4" xfId="3" applyFont="1" applyFill="1" applyBorder="1" applyAlignment="1">
      <alignment horizontal="left" vertical="center" wrapText="1" indent="1"/>
    </xf>
    <xf numFmtId="0" fontId="26" fillId="8" borderId="16" xfId="0" applyFont="1" applyFill="1" applyBorder="1" applyAlignment="1">
      <alignment horizontal="left" vertical="center" indent="1"/>
    </xf>
    <xf numFmtId="0" fontId="26" fillId="8" borderId="20" xfId="0" applyFont="1" applyFill="1" applyBorder="1" applyAlignment="1">
      <alignment horizontal="left" vertical="center" indent="1"/>
    </xf>
    <xf numFmtId="0" fontId="69" fillId="2" borderId="11" xfId="1" applyFont="1" applyFill="1" applyBorder="1" applyAlignment="1">
      <alignment horizontal="left" vertical="center" wrapText="1" indent="1"/>
    </xf>
    <xf numFmtId="0" fontId="69" fillId="2" borderId="12" xfId="1" applyFont="1" applyFill="1" applyBorder="1" applyAlignment="1">
      <alignment horizontal="left" vertical="center" wrapText="1" indent="1"/>
    </xf>
    <xf numFmtId="0" fontId="69" fillId="2" borderId="13" xfId="1" applyFont="1" applyFill="1" applyBorder="1" applyAlignment="1">
      <alignment horizontal="left" vertical="center" wrapText="1" indent="1"/>
    </xf>
    <xf numFmtId="0" fontId="13" fillId="2" borderId="43" xfId="1" applyFont="1" applyFill="1" applyBorder="1" applyAlignment="1">
      <alignment horizontal="left" vertical="center" wrapText="1" indent="1"/>
    </xf>
    <xf numFmtId="0" fontId="26" fillId="8" borderId="21" xfId="0" applyFont="1" applyFill="1" applyBorder="1" applyAlignment="1">
      <alignment horizontal="left" vertical="center" indent="1"/>
    </xf>
    <xf numFmtId="0" fontId="26" fillId="8" borderId="19" xfId="0" applyFont="1" applyFill="1" applyBorder="1" applyAlignment="1">
      <alignment horizontal="left" vertical="center" indent="1"/>
    </xf>
    <xf numFmtId="0" fontId="26" fillId="8" borderId="47" xfId="0" applyFont="1" applyFill="1" applyBorder="1" applyAlignment="1">
      <alignment horizontal="left" vertical="center" indent="1"/>
    </xf>
    <xf numFmtId="0" fontId="26" fillId="8" borderId="1" xfId="0" applyFont="1" applyFill="1" applyBorder="1" applyAlignment="1">
      <alignment horizontal="left" vertical="center" indent="1"/>
    </xf>
    <xf numFmtId="0" fontId="5" fillId="14" borderId="86" xfId="3" applyFont="1" applyFill="1" applyBorder="1" applyAlignment="1">
      <alignment horizontal="left" vertical="center" wrapText="1" indent="1"/>
    </xf>
    <xf numFmtId="0" fontId="5" fillId="14" borderId="64" xfId="3" applyFont="1" applyFill="1" applyBorder="1" applyAlignment="1">
      <alignment horizontal="left" vertical="center" wrapText="1" indent="1"/>
    </xf>
    <xf numFmtId="0" fontId="56" fillId="2" borderId="11" xfId="3" applyFont="1" applyFill="1" applyBorder="1" applyAlignment="1">
      <alignment horizontal="right" vertical="center" indent="1"/>
    </xf>
    <xf numFmtId="0" fontId="56" fillId="2" borderId="12" xfId="3" applyFont="1" applyFill="1" applyBorder="1" applyAlignment="1">
      <alignment horizontal="right" vertical="center" indent="1"/>
    </xf>
    <xf numFmtId="0" fontId="56" fillId="2" borderId="85" xfId="3" applyFont="1" applyFill="1" applyBorder="1" applyAlignment="1">
      <alignment horizontal="right" vertical="center" indent="1"/>
    </xf>
    <xf numFmtId="0" fontId="2" fillId="2" borderId="41" xfId="1" applyFont="1" applyFill="1" applyBorder="1" applyAlignment="1">
      <alignment horizontal="left" vertical="center" wrapText="1" indent="1"/>
    </xf>
    <xf numFmtId="0" fontId="33" fillId="2" borderId="11" xfId="3" applyFont="1" applyFill="1" applyBorder="1" applyAlignment="1">
      <alignment horizontal="left" vertical="center" wrapText="1" indent="1"/>
    </xf>
    <xf numFmtId="0" fontId="33" fillId="2" borderId="12" xfId="3" applyFont="1" applyFill="1" applyBorder="1" applyAlignment="1">
      <alignment horizontal="left" vertical="center" wrapText="1" indent="1"/>
    </xf>
    <xf numFmtId="0" fontId="33" fillId="2" borderId="13" xfId="3" applyFont="1" applyFill="1" applyBorder="1" applyAlignment="1">
      <alignment horizontal="left" vertical="center" wrapText="1" indent="1"/>
    </xf>
    <xf numFmtId="0" fontId="56" fillId="2" borderId="33" xfId="3" applyFont="1" applyFill="1" applyBorder="1" applyAlignment="1">
      <alignment horizontal="right" vertical="center" indent="1"/>
    </xf>
    <xf numFmtId="0" fontId="26" fillId="10" borderId="21" xfId="0" applyFont="1" applyFill="1" applyBorder="1" applyAlignment="1">
      <alignment horizontal="left" vertical="center" indent="1"/>
    </xf>
    <xf numFmtId="0" fontId="26" fillId="10" borderId="19" xfId="0" applyFont="1" applyFill="1" applyBorder="1" applyAlignment="1">
      <alignment horizontal="left" vertical="center" indent="1"/>
    </xf>
    <xf numFmtId="0" fontId="26" fillId="18" borderId="28" xfId="3" applyFont="1" applyFill="1" applyBorder="1" applyAlignment="1">
      <alignment horizontal="left" vertical="center" wrapText="1" indent="1"/>
    </xf>
    <xf numFmtId="0" fontId="26" fillId="18" borderId="15" xfId="3" applyFont="1" applyFill="1" applyBorder="1" applyAlignment="1">
      <alignment horizontal="left" vertical="center" wrapText="1" indent="1"/>
    </xf>
    <xf numFmtId="0" fontId="26" fillId="18" borderId="29" xfId="3" applyFont="1" applyFill="1" applyBorder="1" applyAlignment="1">
      <alignment horizontal="left" vertical="center" wrapText="1" indent="1"/>
    </xf>
    <xf numFmtId="0" fontId="5" fillId="14" borderId="3" xfId="3" applyFont="1" applyFill="1" applyBorder="1" applyAlignment="1">
      <alignment horizontal="left" vertical="center" wrapText="1" indent="1"/>
    </xf>
    <xf numFmtId="0" fontId="5" fillId="14" borderId="4" xfId="3" applyFont="1" applyFill="1" applyBorder="1" applyAlignment="1">
      <alignment horizontal="left" vertical="center" wrapText="1" indent="1"/>
    </xf>
    <xf numFmtId="0" fontId="26" fillId="8" borderId="8" xfId="0" applyFont="1" applyFill="1" applyBorder="1" applyAlignment="1">
      <alignment horizontal="left" vertical="center" indent="1"/>
    </xf>
    <xf numFmtId="0" fontId="26" fillId="8" borderId="14" xfId="0" applyFont="1" applyFill="1" applyBorder="1" applyAlignment="1">
      <alignment horizontal="left" vertical="center" indent="1"/>
    </xf>
    <xf numFmtId="0" fontId="13" fillId="2" borderId="2" xfId="1" applyFont="1" applyFill="1" applyBorder="1" applyAlignment="1">
      <alignment horizontal="left" vertical="center" wrapText="1" indent="1"/>
    </xf>
    <xf numFmtId="0" fontId="13" fillId="2" borderId="5" xfId="1" applyFont="1" applyFill="1" applyBorder="1" applyAlignment="1">
      <alignment horizontal="left" vertical="center" wrapText="1" indent="1"/>
    </xf>
    <xf numFmtId="0" fontId="15" fillId="17" borderId="39" xfId="3" applyFont="1" applyFill="1" applyBorder="1" applyAlignment="1">
      <alignment horizontal="left" vertical="center" wrapText="1" indent="1"/>
    </xf>
    <xf numFmtId="0" fontId="15" fillId="17" borderId="24" xfId="3" applyFont="1" applyFill="1" applyBorder="1" applyAlignment="1">
      <alignment horizontal="left" vertical="center" wrapText="1" indent="1"/>
    </xf>
    <xf numFmtId="0" fontId="15" fillId="17" borderId="53" xfId="3" applyFont="1" applyFill="1" applyBorder="1" applyAlignment="1">
      <alignment horizontal="left" vertical="center" wrapText="1" indent="1"/>
    </xf>
    <xf numFmtId="0" fontId="12" fillId="2" borderId="28" xfId="3" applyFont="1" applyFill="1" applyBorder="1" applyAlignment="1">
      <alignment horizontal="left" vertical="center" wrapText="1" indent="1"/>
    </xf>
    <xf numFmtId="0" fontId="12" fillId="2" borderId="15" xfId="3" applyFont="1" applyFill="1" applyBorder="1" applyAlignment="1">
      <alignment horizontal="left" vertical="center" wrapText="1" indent="1"/>
    </xf>
    <xf numFmtId="0" fontId="12" fillId="2" borderId="29" xfId="3" applyFont="1" applyFill="1" applyBorder="1" applyAlignment="1">
      <alignment horizontal="left" vertical="center" wrapText="1" indent="1"/>
    </xf>
    <xf numFmtId="0" fontId="12" fillId="2" borderId="8"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39" xfId="0" applyFont="1" applyFill="1" applyBorder="1" applyAlignment="1">
      <alignment horizontal="left" vertical="center" wrapText="1" indent="1"/>
    </xf>
    <xf numFmtId="0" fontId="12" fillId="2" borderId="24" xfId="0" applyFont="1" applyFill="1" applyBorder="1" applyAlignment="1">
      <alignment horizontal="left" vertical="center" wrapText="1" indent="1"/>
    </xf>
    <xf numFmtId="0" fontId="12" fillId="2" borderId="56" xfId="0" applyFont="1" applyFill="1" applyBorder="1" applyAlignment="1">
      <alignment horizontal="left" vertical="center" wrapText="1" indent="1"/>
    </xf>
    <xf numFmtId="0" fontId="12" fillId="2" borderId="55" xfId="0" applyFont="1" applyFill="1" applyBorder="1" applyAlignment="1">
      <alignment horizontal="left" vertical="center" wrapText="1" indent="1"/>
    </xf>
    <xf numFmtId="0" fontId="12" fillId="2" borderId="54" xfId="0" applyFont="1" applyFill="1" applyBorder="1" applyAlignment="1">
      <alignment horizontal="left" vertical="center" wrapText="1" indent="1"/>
    </xf>
    <xf numFmtId="0" fontId="24" fillId="2" borderId="39" xfId="1" applyFont="1" applyFill="1" applyBorder="1" applyAlignment="1">
      <alignment horizontal="left" vertical="center" wrapText="1" indent="1"/>
    </xf>
    <xf numFmtId="0" fontId="24" fillId="2" borderId="24" xfId="1" applyFont="1" applyFill="1" applyBorder="1" applyAlignment="1">
      <alignment horizontal="left" vertical="center" wrapText="1" indent="1"/>
    </xf>
    <xf numFmtId="0" fontId="24" fillId="2" borderId="41" xfId="1" applyFont="1" applyFill="1" applyBorder="1" applyAlignment="1">
      <alignment horizontal="left" vertical="center" wrapText="1" indent="1"/>
    </xf>
    <xf numFmtId="0" fontId="58" fillId="5" borderId="56" xfId="0" applyFont="1" applyFill="1" applyBorder="1" applyAlignment="1">
      <alignment horizontal="left" vertical="center" indent="1"/>
    </xf>
    <xf numFmtId="0" fontId="58" fillId="5" borderId="55" xfId="0" applyFont="1" applyFill="1" applyBorder="1" applyAlignment="1">
      <alignment horizontal="left" vertical="center" indent="1"/>
    </xf>
    <xf numFmtId="0" fontId="58" fillId="5" borderId="54" xfId="0" applyFont="1" applyFill="1" applyBorder="1" applyAlignment="1">
      <alignment horizontal="left" vertical="center" indent="1"/>
    </xf>
    <xf numFmtId="0" fontId="58" fillId="5" borderId="9" xfId="0" applyFont="1" applyFill="1" applyBorder="1" applyAlignment="1">
      <alignment horizontal="left" vertical="center" indent="1"/>
    </xf>
    <xf numFmtId="0" fontId="12" fillId="2" borderId="16"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18" xfId="0" applyFont="1" applyFill="1" applyBorder="1" applyAlignment="1">
      <alignment horizontal="left" vertical="center" wrapText="1" indent="1"/>
    </xf>
    <xf numFmtId="0" fontId="12" fillId="2" borderId="8" xfId="0" applyFont="1" applyFill="1" applyBorder="1" applyAlignment="1">
      <alignment horizontal="right" vertical="center" wrapText="1" indent="1"/>
    </xf>
    <xf numFmtId="0" fontId="12" fillId="2" borderId="9" xfId="0" applyFont="1" applyFill="1" applyBorder="1" applyAlignment="1">
      <alignment horizontal="right" vertical="center" wrapText="1" indent="1"/>
    </xf>
    <xf numFmtId="0" fontId="12" fillId="2" borderId="10" xfId="0" applyFont="1" applyFill="1" applyBorder="1" applyAlignment="1">
      <alignment horizontal="right" vertical="center" wrapText="1" indent="1"/>
    </xf>
    <xf numFmtId="0" fontId="12" fillId="2" borderId="11" xfId="3" applyFont="1" applyFill="1" applyBorder="1" applyAlignment="1">
      <alignment horizontal="center" vertical="center"/>
    </xf>
    <xf numFmtId="0" fontId="12" fillId="2" borderId="12" xfId="3" applyFont="1" applyFill="1" applyBorder="1" applyAlignment="1">
      <alignment horizontal="center" vertical="center"/>
    </xf>
    <xf numFmtId="0" fontId="12" fillId="2" borderId="13" xfId="3" applyFont="1" applyFill="1" applyBorder="1" applyAlignment="1">
      <alignment horizontal="center" vertical="center"/>
    </xf>
    <xf numFmtId="0" fontId="26" fillId="8" borderId="61" xfId="0" applyFont="1" applyFill="1" applyBorder="1" applyAlignment="1">
      <alignment horizontal="left" vertical="center" indent="1"/>
    </xf>
    <xf numFmtId="0" fontId="26" fillId="8" borderId="68" xfId="0" applyFont="1" applyFill="1" applyBorder="1" applyAlignment="1">
      <alignment horizontal="left" vertical="center" indent="1"/>
    </xf>
    <xf numFmtId="0" fontId="58" fillId="5" borderId="17" xfId="0" applyFont="1" applyFill="1" applyBorder="1" applyAlignment="1">
      <alignment horizontal="left" vertical="center" indent="1"/>
    </xf>
    <xf numFmtId="0" fontId="24" fillId="2" borderId="90" xfId="1" applyFont="1" applyFill="1" applyBorder="1" applyAlignment="1">
      <alignment horizontal="left" vertical="center" wrapText="1" indent="1"/>
    </xf>
    <xf numFmtId="0" fontId="24" fillId="2" borderId="44" xfId="1" applyFont="1" applyFill="1" applyBorder="1" applyAlignment="1">
      <alignment horizontal="left" vertical="center" wrapText="1" indent="1"/>
    </xf>
    <xf numFmtId="0" fontId="24" fillId="2" borderId="34" xfId="1" applyFont="1" applyFill="1" applyBorder="1" applyAlignment="1">
      <alignment horizontal="left" vertical="center" wrapText="1" indent="1"/>
    </xf>
    <xf numFmtId="0" fontId="52" fillId="2" borderId="28" xfId="2" applyFont="1" applyFill="1" applyBorder="1" applyAlignment="1">
      <alignment horizontal="left" vertical="center" wrapText="1" indent="1"/>
    </xf>
    <xf numFmtId="0" fontId="52" fillId="2" borderId="15" xfId="2" applyFont="1" applyFill="1" applyBorder="1" applyAlignment="1">
      <alignment horizontal="left" vertical="center" wrapText="1" indent="1"/>
    </xf>
    <xf numFmtId="0" fontId="52" fillId="2" borderId="29" xfId="2" applyFont="1" applyFill="1" applyBorder="1" applyAlignment="1">
      <alignment horizontal="left" vertical="center" wrapText="1" indent="1"/>
    </xf>
    <xf numFmtId="0" fontId="13" fillId="2" borderId="21" xfId="1" applyFont="1" applyFill="1" applyBorder="1" applyAlignment="1">
      <alignment horizontal="left" vertical="center" wrapText="1" indent="1"/>
    </xf>
    <xf numFmtId="0" fontId="13" fillId="2" borderId="19" xfId="1" applyFont="1" applyFill="1" applyBorder="1" applyAlignment="1">
      <alignment horizontal="left" vertical="center" wrapText="1" indent="1"/>
    </xf>
    <xf numFmtId="0" fontId="22" fillId="2" borderId="100" xfId="1" applyFont="1" applyFill="1" applyBorder="1" applyAlignment="1">
      <alignment horizontal="right" vertical="center" wrapText="1" indent="1"/>
    </xf>
    <xf numFmtId="0" fontId="13" fillId="2" borderId="0" xfId="1" applyFont="1" applyFill="1" applyAlignment="1">
      <alignment horizontal="left" vertical="center" wrapText="1" indent="1"/>
    </xf>
    <xf numFmtId="0" fontId="22" fillId="2" borderId="103" xfId="1" applyFont="1" applyFill="1" applyBorder="1" applyAlignment="1">
      <alignment horizontal="left" vertical="center" wrapText="1" indent="1"/>
    </xf>
    <xf numFmtId="0" fontId="13" fillId="2" borderId="15"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8" fillId="13" borderId="63" xfId="1" applyFont="1" applyFill="1" applyBorder="1" applyAlignment="1">
      <alignment horizontal="center" vertical="center" wrapText="1"/>
    </xf>
    <xf numFmtId="0" fontId="13" fillId="2" borderId="56"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3" fillId="2" borderId="54" xfId="1" applyFont="1" applyFill="1" applyBorder="1" applyAlignment="1">
      <alignment horizontal="center" vertical="center" wrapText="1"/>
    </xf>
    <xf numFmtId="0" fontId="51" fillId="2" borderId="28" xfId="1" applyFont="1" applyFill="1" applyBorder="1" applyAlignment="1">
      <alignment horizontal="center" vertical="center" wrapText="1"/>
    </xf>
    <xf numFmtId="0" fontId="51" fillId="2" borderId="29" xfId="1" applyFont="1" applyFill="1" applyBorder="1" applyAlignment="1">
      <alignment horizontal="center" vertical="center" wrapText="1"/>
    </xf>
    <xf numFmtId="0" fontId="13" fillId="2" borderId="74" xfId="1" applyFont="1" applyFill="1" applyBorder="1" applyAlignment="1">
      <alignment horizontal="left" vertical="center" wrapText="1" indent="1"/>
    </xf>
    <xf numFmtId="0" fontId="55" fillId="19" borderId="39" xfId="3" applyFont="1" applyFill="1" applyBorder="1" applyAlignment="1">
      <alignment horizontal="center" vertical="center" wrapText="1"/>
    </xf>
    <xf numFmtId="0" fontId="55" fillId="19" borderId="24" xfId="3" applyFont="1" applyFill="1" applyBorder="1" applyAlignment="1">
      <alignment horizontal="center" vertical="center" wrapText="1"/>
    </xf>
    <xf numFmtId="0" fontId="55" fillId="19" borderId="41" xfId="3" applyFont="1" applyFill="1" applyBorder="1" applyAlignment="1">
      <alignment horizontal="center" vertical="center" wrapText="1"/>
    </xf>
    <xf numFmtId="0" fontId="2" fillId="2" borderId="0" xfId="1" applyFont="1" applyFill="1" applyAlignment="1">
      <alignment horizontal="left" vertical="center" wrapText="1" indent="1"/>
    </xf>
    <xf numFmtId="0" fontId="2" fillId="2" borderId="27" xfId="1" applyFont="1" applyFill="1" applyBorder="1" applyAlignment="1">
      <alignment horizontal="left" vertical="center" wrapText="1" indent="1"/>
    </xf>
    <xf numFmtId="0" fontId="54" fillId="14" borderId="39" xfId="3" applyFont="1" applyFill="1" applyBorder="1" applyAlignment="1">
      <alignment horizontal="left" vertical="center" wrapText="1" indent="1"/>
    </xf>
    <xf numFmtId="0" fontId="54" fillId="14" borderId="24" xfId="3" applyFont="1" applyFill="1" applyBorder="1" applyAlignment="1">
      <alignment horizontal="left" vertical="center" wrapText="1" indent="1"/>
    </xf>
    <xf numFmtId="0" fontId="54" fillId="14" borderId="38" xfId="3" applyFont="1" applyFill="1" applyBorder="1" applyAlignment="1">
      <alignment horizontal="left" vertical="center" wrapText="1" indent="1"/>
    </xf>
    <xf numFmtId="0" fontId="22" fillId="2" borderId="39"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22" fillId="2" borderId="29" xfId="1" applyFont="1" applyFill="1" applyBorder="1" applyAlignment="1">
      <alignment horizontal="center" vertical="center" wrapText="1"/>
    </xf>
    <xf numFmtId="0" fontId="4" fillId="2" borderId="6" xfId="1" applyFont="1" applyFill="1" applyBorder="1" applyAlignment="1">
      <alignment horizontal="left" vertical="center" indent="1"/>
    </xf>
    <xf numFmtId="0" fontId="4" fillId="2" borderId="7" xfId="1" applyFont="1" applyFill="1" applyBorder="1" applyAlignment="1">
      <alignment horizontal="left" vertical="center" indent="1"/>
    </xf>
    <xf numFmtId="0" fontId="33" fillId="22" borderId="89" xfId="3" applyFont="1" applyFill="1" applyBorder="1" applyAlignment="1">
      <alignment horizontal="center" vertical="center" wrapText="1"/>
    </xf>
    <xf numFmtId="0" fontId="5" fillId="14" borderId="88" xfId="3" applyFont="1" applyFill="1" applyBorder="1" applyAlignment="1">
      <alignment horizontal="left" vertical="center" wrapText="1" indent="1"/>
    </xf>
    <xf numFmtId="0" fontId="5" fillId="14" borderId="87" xfId="3" applyFont="1" applyFill="1" applyBorder="1" applyAlignment="1">
      <alignment horizontal="left" vertical="center" wrapText="1" indent="1"/>
    </xf>
    <xf numFmtId="0" fontId="54" fillId="14" borderId="47" xfId="3" applyFont="1" applyFill="1" applyBorder="1" applyAlignment="1">
      <alignment horizontal="left" vertical="center" wrapText="1" indent="1"/>
    </xf>
    <xf numFmtId="0" fontId="54" fillId="14" borderId="1" xfId="3" applyFont="1" applyFill="1" applyBorder="1" applyAlignment="1">
      <alignment horizontal="left" vertical="center" wrapText="1" indent="1"/>
    </xf>
    <xf numFmtId="0" fontId="33" fillId="14" borderId="33" xfId="3" applyFont="1" applyFill="1" applyBorder="1" applyAlignment="1">
      <alignment horizontal="right" vertical="center" indent="1"/>
    </xf>
    <xf numFmtId="0" fontId="22" fillId="2" borderId="42" xfId="1" applyFont="1" applyFill="1" applyBorder="1" applyAlignment="1">
      <alignment horizontal="right" vertical="center" wrapText="1" indent="1"/>
    </xf>
    <xf numFmtId="0" fontId="13" fillId="2" borderId="55" xfId="1" applyFont="1" applyFill="1" applyBorder="1" applyAlignment="1">
      <alignment horizontal="left" vertical="center" wrapText="1" indent="1"/>
    </xf>
    <xf numFmtId="0" fontId="13" fillId="2" borderId="98" xfId="1" applyFont="1" applyFill="1" applyBorder="1" applyAlignment="1">
      <alignment horizontal="left" vertical="center" wrapText="1" indent="1"/>
    </xf>
    <xf numFmtId="0" fontId="7" fillId="11" borderId="96" xfId="1" applyFont="1" applyFill="1" applyBorder="1" applyAlignment="1">
      <alignment horizontal="left" vertical="center" wrapText="1" indent="1"/>
    </xf>
    <xf numFmtId="0" fontId="7" fillId="11" borderId="95" xfId="1" applyFont="1" applyFill="1" applyBorder="1" applyAlignment="1">
      <alignment horizontal="left" vertical="center" wrapText="1" indent="1"/>
    </xf>
    <xf numFmtId="0" fontId="7" fillId="11" borderId="94" xfId="1" applyFont="1" applyFill="1" applyBorder="1" applyAlignment="1">
      <alignment horizontal="left" vertical="center" wrapText="1" indent="1"/>
    </xf>
    <xf numFmtId="0" fontId="7" fillId="11" borderId="93" xfId="1" applyFont="1" applyFill="1" applyBorder="1" applyAlignment="1">
      <alignment horizontal="left" vertical="center" wrapText="1" indent="1"/>
    </xf>
    <xf numFmtId="0" fontId="22" fillId="2" borderId="25" xfId="1" applyFont="1" applyFill="1" applyBorder="1" applyAlignment="1">
      <alignment horizontal="right" vertical="center" wrapText="1" indent="1"/>
    </xf>
    <xf numFmtId="0" fontId="22" fillId="2" borderId="26" xfId="1" applyFont="1" applyFill="1" applyBorder="1" applyAlignment="1">
      <alignment horizontal="right" vertical="center" wrapText="1" indent="1"/>
    </xf>
    <xf numFmtId="0" fontId="58" fillId="5" borderId="22" xfId="0" applyFont="1" applyFill="1" applyBorder="1" applyAlignment="1">
      <alignment horizontal="left" vertical="center" indent="1"/>
    </xf>
    <xf numFmtId="0" fontId="26" fillId="5" borderId="21" xfId="0" applyFont="1" applyFill="1" applyBorder="1" applyAlignment="1">
      <alignment wrapText="1"/>
    </xf>
    <xf numFmtId="0" fontId="26" fillId="5" borderId="16" xfId="0" applyFont="1" applyFill="1" applyBorder="1" applyAlignment="1">
      <alignment wrapText="1"/>
    </xf>
    <xf numFmtId="0" fontId="3" fillId="2" borderId="28" xfId="0" applyFont="1" applyFill="1" applyBorder="1" applyAlignment="1">
      <alignment horizontal="left" vertical="center" indent="1"/>
    </xf>
    <xf numFmtId="0" fontId="3" fillId="2" borderId="15" xfId="0" applyFont="1" applyFill="1" applyBorder="1" applyAlignment="1">
      <alignment horizontal="left" vertical="center" indent="1"/>
    </xf>
    <xf numFmtId="0" fontId="7" fillId="13" borderId="96" xfId="1" applyFont="1" applyFill="1" applyBorder="1" applyAlignment="1">
      <alignment horizontal="right" vertical="center" wrapText="1" indent="1"/>
    </xf>
    <xf numFmtId="0" fontId="7" fillId="13" borderId="95" xfId="1" applyFont="1" applyFill="1" applyBorder="1" applyAlignment="1">
      <alignment horizontal="right" vertical="center" wrapText="1" indent="1"/>
    </xf>
    <xf numFmtId="0" fontId="7" fillId="13" borderId="94" xfId="1" applyFont="1" applyFill="1" applyBorder="1" applyAlignment="1">
      <alignment horizontal="right" vertical="center" wrapText="1" indent="1"/>
    </xf>
    <xf numFmtId="0" fontId="7" fillId="13" borderId="93" xfId="1" applyFont="1" applyFill="1" applyBorder="1" applyAlignment="1">
      <alignment horizontal="right" vertical="center" wrapText="1" indent="1"/>
    </xf>
    <xf numFmtId="0" fontId="5" fillId="3" borderId="16" xfId="1" applyFont="1" applyFill="1" applyBorder="1" applyAlignment="1">
      <alignment horizontal="left" vertical="center" indent="1"/>
    </xf>
    <xf numFmtId="0" fontId="5" fillId="3" borderId="17" xfId="1" applyFont="1" applyFill="1" applyBorder="1" applyAlignment="1">
      <alignment horizontal="left" vertical="center" indent="1"/>
    </xf>
    <xf numFmtId="0" fontId="5" fillId="3" borderId="18" xfId="1" applyFont="1" applyFill="1" applyBorder="1" applyAlignment="1">
      <alignment horizontal="left" vertical="center" indent="1"/>
    </xf>
    <xf numFmtId="0" fontId="2" fillId="2" borderId="24" xfId="1" applyFont="1" applyFill="1" applyBorder="1" applyAlignment="1">
      <alignment horizontal="right" vertical="center" indent="1"/>
    </xf>
    <xf numFmtId="0" fontId="5" fillId="2" borderId="21" xfId="1" applyFont="1" applyFill="1" applyBorder="1" applyAlignment="1">
      <alignment horizontal="left" vertical="center" indent="1"/>
    </xf>
    <xf numFmtId="0" fontId="5" fillId="2" borderId="22" xfId="1" applyFont="1" applyFill="1" applyBorder="1" applyAlignment="1">
      <alignment horizontal="left" vertical="center" indent="1"/>
    </xf>
    <xf numFmtId="0" fontId="5" fillId="2" borderId="23" xfId="1" applyFont="1" applyFill="1" applyBorder="1" applyAlignment="1">
      <alignment horizontal="left" vertical="center" indent="1"/>
    </xf>
    <xf numFmtId="0" fontId="5" fillId="5" borderId="8" xfId="1" applyFont="1" applyFill="1" applyBorder="1" applyAlignment="1">
      <alignment horizontal="left" vertical="center" indent="1"/>
    </xf>
    <xf numFmtId="0" fontId="5" fillId="5" borderId="9" xfId="1" applyFont="1" applyFill="1" applyBorder="1" applyAlignment="1">
      <alignment horizontal="left" vertical="center" indent="1"/>
    </xf>
    <xf numFmtId="0" fontId="5" fillId="5" borderId="10" xfId="1" applyFont="1" applyFill="1" applyBorder="1" applyAlignment="1">
      <alignment horizontal="left" vertical="center" indent="1"/>
    </xf>
    <xf numFmtId="0" fontId="12" fillId="27" borderId="47" xfId="1" applyFont="1" applyFill="1" applyBorder="1" applyAlignment="1">
      <alignment horizontal="left" vertical="center" indent="1"/>
    </xf>
    <xf numFmtId="0" fontId="12" fillId="27" borderId="1" xfId="1" applyFont="1" applyFill="1" applyBorder="1" applyAlignment="1">
      <alignment horizontal="left" vertical="center" indent="1"/>
    </xf>
    <xf numFmtId="0" fontId="12" fillId="28" borderId="3" xfId="1" applyFont="1" applyFill="1" applyBorder="1" applyAlignment="1">
      <alignment horizontal="left" vertical="center" indent="1"/>
    </xf>
    <xf numFmtId="0" fontId="12" fillId="28" borderId="4" xfId="1" applyFont="1" applyFill="1" applyBorder="1" applyAlignment="1">
      <alignment horizontal="left" vertical="center" indent="1"/>
    </xf>
    <xf numFmtId="0" fontId="12" fillId="28" borderId="48" xfId="1" applyFont="1" applyFill="1" applyBorder="1" applyAlignment="1">
      <alignment horizontal="left" vertical="center" indent="1"/>
    </xf>
    <xf numFmtId="0" fontId="12" fillId="28" borderId="6" xfId="1" applyFont="1" applyFill="1" applyBorder="1" applyAlignment="1">
      <alignment horizontal="left" vertical="center" indent="1"/>
    </xf>
    <xf numFmtId="0" fontId="13" fillId="2" borderId="105" xfId="1" applyFont="1" applyFill="1" applyBorder="1" applyAlignment="1">
      <alignment horizontal="left" vertical="center" wrapText="1" indent="1"/>
    </xf>
    <xf numFmtId="0" fontId="12" fillId="28" borderId="47" xfId="1" applyFont="1" applyFill="1" applyBorder="1" applyAlignment="1">
      <alignment horizontal="left" vertical="center" indent="1"/>
    </xf>
    <xf numFmtId="0" fontId="12" fillId="28" borderId="1" xfId="1" applyFont="1" applyFill="1" applyBorder="1" applyAlignment="1">
      <alignment horizontal="left" vertical="center" indent="1"/>
    </xf>
    <xf numFmtId="0" fontId="12" fillId="27" borderId="48" xfId="1" applyFont="1" applyFill="1" applyBorder="1" applyAlignment="1">
      <alignment horizontal="left" vertical="center" indent="1"/>
    </xf>
    <xf numFmtId="0" fontId="12" fillId="27" borderId="6" xfId="1" applyFont="1" applyFill="1" applyBorder="1" applyAlignment="1">
      <alignment horizontal="left" vertical="center" indent="1"/>
    </xf>
    <xf numFmtId="0" fontId="36" fillId="2" borderId="122" xfId="1" applyFont="1" applyFill="1" applyBorder="1" applyAlignment="1">
      <alignment horizontal="left" vertical="center" wrapText="1" indent="1"/>
    </xf>
    <xf numFmtId="0" fontId="36" fillId="2" borderId="124" xfId="1" applyFont="1" applyFill="1" applyBorder="1" applyAlignment="1">
      <alignment horizontal="left" vertical="center" wrapText="1" indent="1"/>
    </xf>
    <xf numFmtId="0" fontId="6" fillId="4" borderId="39" xfId="1" applyFont="1" applyFill="1" applyBorder="1" applyAlignment="1">
      <alignment horizontal="left" vertical="center" wrapText="1" indent="1"/>
    </xf>
    <xf numFmtId="0" fontId="6" fillId="4" borderId="24" xfId="1" applyFont="1" applyFill="1" applyBorder="1" applyAlignment="1">
      <alignment horizontal="left" vertical="center" wrapText="1" indent="1"/>
    </xf>
    <xf numFmtId="0" fontId="15" fillId="4" borderId="24" xfId="1" applyFont="1" applyFill="1" applyBorder="1" applyAlignment="1">
      <alignment horizontal="left" vertical="center" wrapText="1" indent="1"/>
    </xf>
    <xf numFmtId="0" fontId="15" fillId="4" borderId="41" xfId="1" applyFont="1" applyFill="1" applyBorder="1" applyAlignment="1">
      <alignment horizontal="left" vertical="center" wrapText="1" indent="1"/>
    </xf>
    <xf numFmtId="0" fontId="12" fillId="2" borderId="90" xfId="1" applyFont="1" applyFill="1" applyBorder="1" applyAlignment="1">
      <alignment horizontal="left" vertical="center" wrapText="1" indent="1"/>
    </xf>
    <xf numFmtId="0" fontId="12" fillId="2" borderId="44" xfId="1" applyFont="1" applyFill="1" applyBorder="1" applyAlignment="1">
      <alignment horizontal="left" vertical="center" wrapText="1" indent="1"/>
    </xf>
    <xf numFmtId="0" fontId="10" fillId="2" borderId="44" xfId="2" applyFill="1" applyBorder="1" applyAlignment="1">
      <alignment horizontal="center" vertical="center" wrapText="1"/>
    </xf>
    <xf numFmtId="0" fontId="10" fillId="2" borderId="34" xfId="2" applyFill="1" applyBorder="1" applyAlignment="1">
      <alignment horizontal="center" vertical="center" wrapText="1"/>
    </xf>
    <xf numFmtId="0" fontId="71" fillId="2" borderId="107" xfId="0" applyFont="1" applyFill="1" applyBorder="1" applyAlignment="1">
      <alignment horizontal="left" vertical="center" wrapText="1" indent="1" readingOrder="1"/>
    </xf>
    <xf numFmtId="0" fontId="71" fillId="2" borderId="30" xfId="0" applyFont="1" applyFill="1" applyBorder="1" applyAlignment="1">
      <alignment horizontal="left" vertical="center" wrapText="1" indent="1" readingOrder="1"/>
    </xf>
    <xf numFmtId="0" fontId="39" fillId="5" borderId="122" xfId="1" applyFont="1" applyFill="1" applyBorder="1" applyAlignment="1">
      <alignment horizontal="left" vertical="center" wrapText="1" indent="1"/>
    </xf>
    <xf numFmtId="0" fontId="39" fillId="5" borderId="123" xfId="1" applyFont="1" applyFill="1" applyBorder="1" applyAlignment="1">
      <alignment horizontal="left" vertical="center" wrapText="1" indent="1"/>
    </xf>
    <xf numFmtId="0" fontId="39" fillId="5" borderId="121" xfId="1" applyFont="1" applyFill="1" applyBorder="1" applyAlignment="1">
      <alignment horizontal="left" vertical="center" wrapText="1" indent="1"/>
    </xf>
    <xf numFmtId="0" fontId="39" fillId="5" borderId="76" xfId="1" applyFont="1" applyFill="1" applyBorder="1" applyAlignment="1">
      <alignment horizontal="left" vertical="center" wrapText="1" indent="1"/>
    </xf>
    <xf numFmtId="0" fontId="39" fillId="5" borderId="78" xfId="1" applyFont="1" applyFill="1" applyBorder="1" applyAlignment="1">
      <alignment horizontal="left" vertical="center" wrapText="1" indent="1"/>
    </xf>
    <xf numFmtId="0" fontId="39" fillId="5" borderId="68" xfId="1" applyFont="1" applyFill="1" applyBorder="1" applyAlignment="1">
      <alignment horizontal="left" vertical="center" wrapText="1" indent="1"/>
    </xf>
    <xf numFmtId="0" fontId="4" fillId="0" borderId="0" xfId="1" applyFont="1" applyAlignment="1">
      <alignment horizontal="left" indent="1"/>
    </xf>
    <xf numFmtId="0" fontId="46" fillId="0" borderId="0" xfId="1" applyFont="1" applyAlignment="1">
      <alignment horizontal="left" vertical="center" indent="1"/>
    </xf>
    <xf numFmtId="0" fontId="15" fillId="4" borderId="112" xfId="1" applyFont="1" applyFill="1" applyBorder="1" applyAlignment="1">
      <alignment horizontal="left" vertical="center" wrapText="1" indent="1"/>
    </xf>
    <xf numFmtId="0" fontId="15" fillId="4" borderId="113" xfId="1" applyFont="1" applyFill="1" applyBorder="1" applyAlignment="1">
      <alignment horizontal="left" vertical="center" wrapText="1" indent="1"/>
    </xf>
    <xf numFmtId="0" fontId="15" fillId="4" borderId="114" xfId="1" applyFont="1" applyFill="1" applyBorder="1" applyAlignment="1">
      <alignment horizontal="left" vertical="center" wrapText="1" indent="1"/>
    </xf>
    <xf numFmtId="0" fontId="36" fillId="2" borderId="15" xfId="1" applyFont="1" applyFill="1" applyBorder="1" applyAlignment="1">
      <alignment horizontal="left" vertical="center" wrapText="1" indent="1"/>
    </xf>
    <xf numFmtId="0" fontId="17" fillId="2" borderId="112" xfId="1" applyFont="1" applyFill="1" applyBorder="1" applyAlignment="1">
      <alignment horizontal="left" vertical="center" wrapText="1" indent="1"/>
    </xf>
    <xf numFmtId="0" fontId="25" fillId="2" borderId="113" xfId="1" applyFont="1" applyFill="1" applyBorder="1" applyAlignment="1">
      <alignment horizontal="left" vertical="center" wrapText="1" indent="1"/>
    </xf>
    <xf numFmtId="0" fontId="25" fillId="2" borderId="114" xfId="1" applyFont="1" applyFill="1" applyBorder="1" applyAlignment="1">
      <alignment horizontal="left" vertical="center" wrapText="1" indent="1"/>
    </xf>
    <xf numFmtId="0" fontId="63" fillId="4" borderId="118" xfId="1" applyFont="1" applyFill="1" applyBorder="1" applyAlignment="1">
      <alignment horizontal="left" vertical="center" indent="1"/>
    </xf>
    <xf numFmtId="0" fontId="63" fillId="4" borderId="0" xfId="1" applyFont="1" applyFill="1" applyAlignment="1">
      <alignment horizontal="left" vertical="center" indent="1"/>
    </xf>
    <xf numFmtId="0" fontId="36" fillId="2" borderId="32" xfId="1" applyFont="1" applyFill="1" applyBorder="1" applyAlignment="1">
      <alignment horizontal="left" vertical="center" wrapText="1" indent="1"/>
    </xf>
    <xf numFmtId="0" fontId="36" fillId="2" borderId="0" xfId="1" applyFont="1" applyFill="1" applyAlignment="1">
      <alignment horizontal="left" vertical="center" wrapText="1" indent="1"/>
    </xf>
    <xf numFmtId="0" fontId="39" fillId="5" borderId="119" xfId="1" applyFont="1" applyFill="1" applyBorder="1" applyAlignment="1">
      <alignment horizontal="left" vertical="center" wrapText="1" indent="1"/>
    </xf>
    <xf numFmtId="0" fontId="39" fillId="5" borderId="120" xfId="1" applyFont="1" applyFill="1" applyBorder="1" applyAlignment="1">
      <alignment horizontal="left" vertical="center" wrapText="1" indent="1"/>
    </xf>
    <xf numFmtId="0" fontId="17" fillId="5" borderId="6"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3" xfId="0" applyFont="1" applyFill="1" applyBorder="1" applyAlignment="1">
      <alignment horizontal="left" vertical="center" indent="1"/>
    </xf>
    <xf numFmtId="0" fontId="17" fillId="5" borderId="4" xfId="0" applyFont="1" applyFill="1" applyBorder="1" applyAlignment="1">
      <alignment horizontal="left" vertical="center" indent="1"/>
    </xf>
    <xf numFmtId="0" fontId="17" fillId="5" borderId="48" xfId="0" applyFont="1" applyFill="1" applyBorder="1" applyAlignment="1">
      <alignment horizontal="left" vertical="center" indent="1"/>
    </xf>
    <xf numFmtId="0" fontId="17" fillId="5" borderId="5" xfId="0" applyFont="1" applyFill="1" applyBorder="1" applyAlignment="1">
      <alignment horizontal="left" vertical="center" indent="1"/>
    </xf>
    <xf numFmtId="0" fontId="2" fillId="5" borderId="6" xfId="0" applyFont="1" applyFill="1" applyBorder="1" applyAlignment="1">
      <alignment horizontal="left" vertical="center" wrapText="1" indent="1"/>
    </xf>
    <xf numFmtId="0" fontId="2" fillId="5" borderId="35" xfId="0" applyFont="1" applyFill="1" applyBorder="1" applyAlignment="1">
      <alignment horizontal="left" vertical="center" wrapText="1" indent="1"/>
    </xf>
    <xf numFmtId="0" fontId="2" fillId="5" borderId="17" xfId="0" applyFont="1" applyFill="1" applyBorder="1" applyAlignment="1">
      <alignment horizontal="left" vertical="center" wrapText="1" indent="1"/>
    </xf>
    <xf numFmtId="0" fontId="2" fillId="5" borderId="18" xfId="0" applyFont="1" applyFill="1" applyBorder="1" applyAlignment="1">
      <alignment horizontal="left" vertical="center" wrapText="1" indent="1"/>
    </xf>
    <xf numFmtId="0" fontId="2" fillId="5" borderId="59"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0" fontId="2" fillId="5" borderId="10" xfId="0" applyFont="1" applyFill="1" applyBorder="1" applyAlignment="1">
      <alignment horizontal="left" vertical="center" wrapText="1" indent="1"/>
    </xf>
    <xf numFmtId="0" fontId="2" fillId="5" borderId="4" xfId="0" applyFont="1" applyFill="1" applyBorder="1" applyAlignment="1">
      <alignment horizontal="left" vertical="center" wrapText="1" indent="1"/>
    </xf>
    <xf numFmtId="0" fontId="15" fillId="4" borderId="47" xfId="0" applyFont="1" applyFill="1" applyBorder="1" applyAlignment="1">
      <alignment horizontal="left" vertical="center" indent="1"/>
    </xf>
    <xf numFmtId="0" fontId="15" fillId="4" borderId="1" xfId="0" applyFont="1" applyFill="1" applyBorder="1" applyAlignment="1">
      <alignment horizontal="left" vertical="center" indent="1"/>
    </xf>
    <xf numFmtId="0" fontId="44" fillId="2" borderId="1" xfId="0" applyFont="1" applyFill="1" applyBorder="1" applyAlignment="1">
      <alignment horizontal="left" vertical="center" indent="1"/>
    </xf>
    <xf numFmtId="0" fontId="25" fillId="2" borderId="1" xfId="0" applyFont="1" applyFill="1" applyBorder="1" applyAlignment="1">
      <alignment horizontal="left" vertical="center" indent="1"/>
    </xf>
    <xf numFmtId="0" fontId="25" fillId="2" borderId="2" xfId="0" applyFont="1" applyFill="1" applyBorder="1" applyAlignment="1">
      <alignment horizontal="left" vertical="center" indent="1"/>
    </xf>
    <xf numFmtId="0" fontId="14" fillId="2" borderId="3" xfId="2" applyFont="1" applyFill="1" applyBorder="1" applyAlignment="1">
      <alignment horizontal="left" vertical="center" indent="1"/>
    </xf>
    <xf numFmtId="0" fontId="14" fillId="2" borderId="4" xfId="2" applyFont="1" applyFill="1" applyBorder="1" applyAlignment="1">
      <alignment horizontal="left" vertical="center" indent="1"/>
    </xf>
    <xf numFmtId="0" fontId="17" fillId="2" borderId="4" xfId="0" applyFont="1" applyFill="1" applyBorder="1" applyAlignment="1">
      <alignment horizontal="left" vertical="center" wrapText="1" indent="1"/>
    </xf>
    <xf numFmtId="0" fontId="17" fillId="2" borderId="5" xfId="0" applyFont="1" applyFill="1" applyBorder="1" applyAlignment="1">
      <alignment horizontal="left" vertical="center" wrapText="1" indent="1"/>
    </xf>
    <xf numFmtId="0" fontId="11" fillId="4" borderId="39" xfId="0" applyFont="1" applyFill="1" applyBorder="1" applyAlignment="1">
      <alignment horizontal="left" vertical="center" wrapText="1" indent="1"/>
    </xf>
    <xf numFmtId="0" fontId="11" fillId="4" borderId="24" xfId="0" applyFont="1" applyFill="1" applyBorder="1" applyAlignment="1">
      <alignment horizontal="left" vertical="center" wrapText="1" indent="1"/>
    </xf>
    <xf numFmtId="0" fontId="11" fillId="4" borderId="41" xfId="0" applyFont="1" applyFill="1" applyBorder="1" applyAlignment="1">
      <alignment horizontal="left" vertical="center" wrapText="1" indent="1"/>
    </xf>
    <xf numFmtId="0" fontId="12" fillId="2" borderId="3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27" xfId="0" applyFont="1" applyFill="1" applyBorder="1" applyAlignment="1">
      <alignment horizontal="left" vertical="center" wrapText="1" indent="1"/>
    </xf>
    <xf numFmtId="0" fontId="25" fillId="2" borderId="31" xfId="0" applyFont="1" applyFill="1" applyBorder="1" applyAlignment="1">
      <alignment horizontal="right" vertical="center" wrapText="1" indent="1"/>
    </xf>
    <xf numFmtId="0" fontId="34" fillId="2" borderId="31" xfId="0" applyFont="1" applyFill="1" applyBorder="1" applyAlignment="1">
      <alignment horizontal="right" vertical="center" wrapText="1" indent="1"/>
    </xf>
    <xf numFmtId="0" fontId="25" fillId="2" borderId="15" xfId="0" applyFont="1" applyFill="1" applyBorder="1" applyAlignment="1">
      <alignment horizontal="center" vertical="center"/>
    </xf>
    <xf numFmtId="0" fontId="25" fillId="2" borderId="29" xfId="0" applyFont="1" applyFill="1" applyBorder="1" applyAlignment="1">
      <alignment horizontal="center" vertical="center"/>
    </xf>
    <xf numFmtId="9" fontId="15" fillId="11" borderId="8" xfId="0" applyNumberFormat="1" applyFont="1" applyFill="1" applyBorder="1" applyAlignment="1">
      <alignment horizontal="left" vertical="center" wrapText="1" indent="1"/>
    </xf>
    <xf numFmtId="9" fontId="15" fillId="11" borderId="9" xfId="0" applyNumberFormat="1" applyFont="1" applyFill="1" applyBorder="1" applyAlignment="1">
      <alignment horizontal="left" vertical="center" wrapText="1" indent="1"/>
    </xf>
    <xf numFmtId="9" fontId="15" fillId="11" borderId="10" xfId="0" applyNumberFormat="1" applyFont="1" applyFill="1" applyBorder="1" applyAlignment="1">
      <alignment horizontal="left" vertical="center" wrapText="1" indent="1"/>
    </xf>
    <xf numFmtId="0" fontId="25" fillId="2" borderId="27" xfId="0" applyFont="1" applyFill="1" applyBorder="1" applyAlignment="1">
      <alignment horizontal="left" vertical="center" indent="1"/>
    </xf>
    <xf numFmtId="0" fontId="25" fillId="2" borderId="31" xfId="0" applyFont="1" applyFill="1" applyBorder="1" applyAlignment="1">
      <alignment horizontal="left" vertical="center" indent="1"/>
    </xf>
    <xf numFmtId="0" fontId="25" fillId="2" borderId="28" xfId="0" applyFont="1" applyFill="1" applyBorder="1" applyAlignment="1">
      <alignment horizontal="center" vertical="center"/>
    </xf>
    <xf numFmtId="9" fontId="15" fillId="17" borderId="16" xfId="0" applyNumberFormat="1" applyFont="1" applyFill="1" applyBorder="1" applyAlignment="1">
      <alignment horizontal="left" vertical="center" wrapText="1" indent="1"/>
    </xf>
    <xf numFmtId="9" fontId="15" fillId="17" borderId="17" xfId="0" applyNumberFormat="1" applyFont="1" applyFill="1" applyBorder="1" applyAlignment="1">
      <alignment horizontal="left" vertical="center" wrapText="1" indent="1"/>
    </xf>
    <xf numFmtId="9" fontId="15" fillId="17" borderId="18" xfId="0" applyNumberFormat="1" applyFont="1" applyFill="1" applyBorder="1" applyAlignment="1">
      <alignment horizontal="left" vertical="center" wrapText="1" indent="1"/>
    </xf>
    <xf numFmtId="9" fontId="15" fillId="15" borderId="8" xfId="0" applyNumberFormat="1" applyFont="1" applyFill="1" applyBorder="1" applyAlignment="1">
      <alignment horizontal="left" vertical="center" wrapText="1" indent="1"/>
    </xf>
    <xf numFmtId="9" fontId="15" fillId="15" borderId="9" xfId="0" applyNumberFormat="1" applyFont="1" applyFill="1" applyBorder="1" applyAlignment="1">
      <alignment horizontal="left" vertical="center" wrapText="1" indent="1"/>
    </xf>
    <xf numFmtId="9" fontId="15" fillId="15" borderId="10" xfId="0" applyNumberFormat="1" applyFont="1" applyFill="1" applyBorder="1" applyAlignment="1">
      <alignment horizontal="left" vertical="center" wrapText="1" indent="1"/>
    </xf>
    <xf numFmtId="9" fontId="15" fillId="13" borderId="16" xfId="0" applyNumberFormat="1" applyFont="1" applyFill="1" applyBorder="1" applyAlignment="1">
      <alignment horizontal="left" vertical="center" wrapText="1" indent="1"/>
    </xf>
    <xf numFmtId="9" fontId="15" fillId="13" borderId="17" xfId="0" applyNumberFormat="1" applyFont="1" applyFill="1" applyBorder="1" applyAlignment="1">
      <alignment horizontal="left" vertical="center" wrapText="1" indent="1"/>
    </xf>
    <xf numFmtId="9" fontId="15" fillId="13" borderId="18" xfId="0" applyNumberFormat="1" applyFont="1" applyFill="1" applyBorder="1" applyAlignment="1">
      <alignment horizontal="left" vertical="center" wrapText="1" indent="1"/>
    </xf>
    <xf numFmtId="9" fontId="15" fillId="13" borderId="8" xfId="0" applyNumberFormat="1" applyFont="1" applyFill="1" applyBorder="1" applyAlignment="1">
      <alignment horizontal="left" vertical="center" wrapText="1" indent="1"/>
    </xf>
    <xf numFmtId="9" fontId="15" fillId="13" borderId="9" xfId="0" applyNumberFormat="1" applyFont="1" applyFill="1" applyBorder="1" applyAlignment="1">
      <alignment horizontal="left" vertical="center" wrapText="1" indent="1"/>
    </xf>
    <xf numFmtId="9" fontId="15" fillId="13" borderId="10" xfId="0" applyNumberFormat="1" applyFont="1" applyFill="1" applyBorder="1" applyAlignment="1">
      <alignment horizontal="left" vertical="center" wrapText="1" indent="1"/>
    </xf>
    <xf numFmtId="9" fontId="15" fillId="16" borderId="8" xfId="0" applyNumberFormat="1" applyFont="1" applyFill="1" applyBorder="1" applyAlignment="1">
      <alignment horizontal="left" vertical="center" wrapText="1" indent="1"/>
    </xf>
    <xf numFmtId="9" fontId="15" fillId="16" borderId="9" xfId="0" applyNumberFormat="1" applyFont="1" applyFill="1" applyBorder="1" applyAlignment="1">
      <alignment horizontal="left" vertical="center" wrapText="1" indent="1"/>
    </xf>
    <xf numFmtId="9" fontId="15" fillId="16" borderId="10" xfId="0" applyNumberFormat="1" applyFont="1" applyFill="1" applyBorder="1" applyAlignment="1">
      <alignment horizontal="left" vertical="center" wrapText="1" indent="1"/>
    </xf>
    <xf numFmtId="9" fontId="30" fillId="3" borderId="21" xfId="0" applyNumberFormat="1" applyFont="1" applyFill="1" applyBorder="1" applyAlignment="1">
      <alignment horizontal="right" vertical="center" wrapText="1" indent="1"/>
    </xf>
    <xf numFmtId="9" fontId="4" fillId="3" borderId="22" xfId="0" applyNumberFormat="1" applyFont="1" applyFill="1" applyBorder="1" applyAlignment="1">
      <alignment horizontal="right" vertical="center" wrapText="1" indent="1"/>
    </xf>
    <xf numFmtId="0" fontId="15" fillId="4" borderId="60" xfId="1" applyFont="1" applyFill="1" applyBorder="1" applyAlignment="1">
      <alignment horizontal="left" vertical="center" wrapText="1" indent="1"/>
    </xf>
    <xf numFmtId="0" fontId="15" fillId="4" borderId="47" xfId="1"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5" borderId="87" xfId="0" applyFont="1" applyFill="1" applyBorder="1" applyAlignment="1">
      <alignment horizontal="left" vertical="center" wrapText="1" indent="1"/>
    </xf>
    <xf numFmtId="0" fontId="12" fillId="2" borderId="46" xfId="1" applyFont="1" applyFill="1" applyBorder="1" applyAlignment="1">
      <alignment horizontal="left" vertical="center" wrapText="1" indent="1"/>
    </xf>
    <xf numFmtId="0" fontId="12" fillId="2" borderId="50" xfId="1" applyFont="1" applyFill="1" applyBorder="1" applyAlignment="1">
      <alignment horizontal="left" vertical="center" wrapText="1" indent="1"/>
    </xf>
    <xf numFmtId="0" fontId="2" fillId="5" borderId="111" xfId="0" applyFont="1" applyFill="1" applyBorder="1" applyAlignment="1">
      <alignment horizontal="left" vertical="center" wrapText="1" indent="1"/>
    </xf>
    <xf numFmtId="0" fontId="2" fillId="5" borderId="55" xfId="0" applyFont="1" applyFill="1" applyBorder="1" applyAlignment="1">
      <alignment horizontal="left" vertical="center" wrapText="1" indent="1"/>
    </xf>
    <xf numFmtId="0" fontId="2" fillId="5" borderId="54" xfId="0" applyFont="1" applyFill="1" applyBorder="1" applyAlignment="1">
      <alignment horizontal="left" vertical="center" wrapText="1" indent="1"/>
    </xf>
    <xf numFmtId="0" fontId="17" fillId="2" borderId="32" xfId="1" applyFont="1" applyFill="1" applyBorder="1" applyAlignment="1">
      <alignment horizontal="left" vertical="center" wrapText="1" indent="1"/>
    </xf>
    <xf numFmtId="0" fontId="17" fillId="2" borderId="0" xfId="1" applyFont="1" applyFill="1" applyAlignment="1">
      <alignment horizontal="left" vertical="center" wrapText="1" indent="1"/>
    </xf>
    <xf numFmtId="0" fontId="17" fillId="2" borderId="69" xfId="1" applyFont="1" applyFill="1" applyBorder="1" applyAlignment="1">
      <alignment horizontal="left" vertical="center" wrapText="1" indent="1"/>
    </xf>
    <xf numFmtId="0" fontId="14" fillId="2" borderId="97"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5" fillId="5" borderId="36" xfId="0" applyFont="1" applyFill="1" applyBorder="1" applyAlignment="1">
      <alignment horizontal="left" vertical="center" wrapText="1" indent="1"/>
    </xf>
    <xf numFmtId="0" fontId="5" fillId="5" borderId="22" xfId="0" applyFont="1" applyFill="1" applyBorder="1" applyAlignment="1">
      <alignment horizontal="left" vertical="center" wrapText="1" indent="1"/>
    </xf>
    <xf numFmtId="0" fontId="2" fillId="5" borderId="36" xfId="0" applyFont="1" applyFill="1" applyBorder="1" applyAlignment="1">
      <alignment horizontal="left" vertical="center" wrapText="1" indent="1"/>
    </xf>
    <xf numFmtId="0" fontId="2" fillId="5" borderId="22" xfId="0" applyFont="1" applyFill="1" applyBorder="1" applyAlignment="1">
      <alignment horizontal="left" vertical="center" wrapText="1" indent="1"/>
    </xf>
    <xf numFmtId="0" fontId="25" fillId="2" borderId="33" xfId="0" applyFont="1" applyFill="1" applyBorder="1" applyAlignment="1">
      <alignment horizontal="center" vertical="top" wrapText="1"/>
    </xf>
    <xf numFmtId="0" fontId="11" fillId="4" borderId="41" xfId="3" applyFont="1" applyFill="1" applyBorder="1" applyAlignment="1">
      <alignment horizontal="left" vertical="center" wrapText="1" indent="1"/>
    </xf>
    <xf numFmtId="167" fontId="12" fillId="5" borderId="11" xfId="8" applyNumberFormat="1" applyFont="1" applyFill="1" applyBorder="1" applyAlignment="1">
      <alignment horizontal="right" vertical="center" wrapText="1" indent="1"/>
    </xf>
    <xf numFmtId="167" fontId="12" fillId="5" borderId="13" xfId="8" applyNumberFormat="1" applyFont="1" applyFill="1" applyBorder="1" applyAlignment="1">
      <alignment horizontal="right" vertical="center" wrapText="1" indent="1"/>
    </xf>
    <xf numFmtId="0" fontId="12" fillId="2" borderId="11" xfId="3" applyFont="1" applyFill="1" applyBorder="1" applyAlignment="1">
      <alignment horizontal="left" vertical="center" wrapText="1" indent="1"/>
    </xf>
    <xf numFmtId="0" fontId="12" fillId="2" borderId="12" xfId="3" applyFont="1" applyFill="1" applyBorder="1" applyAlignment="1">
      <alignment horizontal="left" vertical="center" wrapText="1" indent="1"/>
    </xf>
    <xf numFmtId="0" fontId="12" fillId="2" borderId="13" xfId="3" applyFont="1" applyFill="1" applyBorder="1" applyAlignment="1">
      <alignment horizontal="left" vertical="center" wrapText="1" indent="1"/>
    </xf>
    <xf numFmtId="0" fontId="12" fillId="2" borderId="33" xfId="3" applyFont="1" applyFill="1" applyBorder="1" applyAlignment="1">
      <alignment horizontal="center" vertical="center" wrapText="1"/>
    </xf>
    <xf numFmtId="0" fontId="6" fillId="24" borderId="39" xfId="3" applyFont="1" applyFill="1" applyBorder="1" applyAlignment="1">
      <alignment horizontal="left" vertical="center" wrapText="1" indent="1"/>
    </xf>
    <xf numFmtId="0" fontId="11" fillId="24" borderId="24" xfId="3" applyFont="1" applyFill="1" applyBorder="1" applyAlignment="1">
      <alignment horizontal="left" vertical="center" wrapText="1" indent="1"/>
    </xf>
    <xf numFmtId="0" fontId="11" fillId="24" borderId="41" xfId="3" applyFont="1" applyFill="1" applyBorder="1" applyAlignment="1">
      <alignment horizontal="left" vertical="center" wrapText="1" indent="1"/>
    </xf>
    <xf numFmtId="0" fontId="36" fillId="2" borderId="39" xfId="1" applyFont="1" applyFill="1" applyBorder="1" applyAlignment="1">
      <alignment horizontal="left" vertical="center" wrapText="1" indent="1"/>
    </xf>
    <xf numFmtId="0" fontId="25" fillId="2" borderId="24" xfId="1" applyFont="1" applyFill="1" applyBorder="1" applyAlignment="1">
      <alignment horizontal="left" vertical="center" wrapText="1" indent="1"/>
    </xf>
    <xf numFmtId="0" fontId="25" fillId="2" borderId="41" xfId="1" applyFont="1" applyFill="1" applyBorder="1" applyAlignment="1">
      <alignment horizontal="left" vertical="center" wrapText="1" indent="1"/>
    </xf>
    <xf numFmtId="166" fontId="17" fillId="5" borderId="33" xfId="3" applyNumberFormat="1" applyFont="1" applyFill="1" applyBorder="1" applyAlignment="1">
      <alignment horizontal="right" vertical="center" wrapText="1" indent="1"/>
    </xf>
    <xf numFmtId="167" fontId="36" fillId="3" borderId="33" xfId="8" applyNumberFormat="1" applyFont="1" applyFill="1" applyBorder="1" applyAlignment="1">
      <alignment horizontal="right" vertical="center" wrapText="1" indent="1"/>
    </xf>
    <xf numFmtId="0" fontId="17" fillId="2" borderId="33" xfId="3" applyFont="1" applyFill="1" applyBorder="1" applyAlignment="1">
      <alignment horizontal="left" vertical="center" wrapText="1" indent="1"/>
    </xf>
    <xf numFmtId="0" fontId="17" fillId="2" borderId="33" xfId="3" applyFont="1" applyFill="1" applyBorder="1" applyAlignment="1">
      <alignment horizontal="right" vertical="center" wrapText="1" indent="1"/>
    </xf>
    <xf numFmtId="0" fontId="17" fillId="2" borderId="33" xfId="3" applyFont="1" applyFill="1" applyBorder="1" applyAlignment="1">
      <alignment horizontal="center" vertical="center" wrapText="1"/>
    </xf>
    <xf numFmtId="166" fontId="17" fillId="5" borderId="33" xfId="8" applyNumberFormat="1" applyFont="1" applyFill="1" applyBorder="1" applyAlignment="1">
      <alignment horizontal="right" vertical="center" wrapText="1" indent="1"/>
    </xf>
    <xf numFmtId="9" fontId="17" fillId="3" borderId="39"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3" borderId="32" xfId="0" applyNumberFormat="1" applyFont="1" applyFill="1" applyBorder="1" applyAlignment="1">
      <alignment horizontal="center" vertical="center" wrapText="1"/>
    </xf>
    <xf numFmtId="9" fontId="17" fillId="3" borderId="27" xfId="0" applyNumberFormat="1" applyFont="1" applyFill="1" applyBorder="1" applyAlignment="1">
      <alignment horizontal="center" vertical="center" wrapText="1"/>
    </xf>
    <xf numFmtId="9" fontId="17" fillId="3" borderId="28" xfId="0" applyNumberFormat="1" applyFont="1" applyFill="1" applyBorder="1" applyAlignment="1">
      <alignment horizontal="center" vertical="center" wrapText="1"/>
    </xf>
    <xf numFmtId="9" fontId="17" fillId="3" borderId="29" xfId="0" applyNumberFormat="1" applyFont="1" applyFill="1" applyBorder="1" applyAlignment="1">
      <alignment horizontal="center" vertical="center" wrapText="1"/>
    </xf>
    <xf numFmtId="9" fontId="17" fillId="2" borderId="39" xfId="0" applyNumberFormat="1" applyFont="1" applyFill="1" applyBorder="1" applyAlignment="1">
      <alignment horizontal="center" vertical="center" wrapText="1"/>
    </xf>
    <xf numFmtId="9" fontId="17" fillId="2" borderId="41" xfId="0" applyNumberFormat="1" applyFont="1" applyFill="1" applyBorder="1" applyAlignment="1">
      <alignment horizontal="center" vertical="center" wrapText="1"/>
    </xf>
    <xf numFmtId="9" fontId="17" fillId="2" borderId="32" xfId="0" applyNumberFormat="1" applyFont="1" applyFill="1" applyBorder="1" applyAlignment="1">
      <alignment horizontal="center" vertical="center" wrapText="1"/>
    </xf>
    <xf numFmtId="9" fontId="17" fillId="2" borderId="27" xfId="0" applyNumberFormat="1" applyFont="1" applyFill="1" applyBorder="1" applyAlignment="1">
      <alignment horizontal="center" vertical="center" wrapText="1"/>
    </xf>
    <xf numFmtId="9" fontId="17" fillId="2" borderId="28" xfId="0" applyNumberFormat="1" applyFont="1" applyFill="1" applyBorder="1" applyAlignment="1">
      <alignment horizontal="center" vertical="center" wrapText="1"/>
    </xf>
    <xf numFmtId="9" fontId="17" fillId="2" borderId="29" xfId="0" applyNumberFormat="1" applyFont="1" applyFill="1" applyBorder="1" applyAlignment="1">
      <alignment horizontal="center" vertical="center" wrapText="1"/>
    </xf>
    <xf numFmtId="9" fontId="2" fillId="2" borderId="39" xfId="0" applyNumberFormat="1" applyFont="1" applyFill="1" applyBorder="1" applyAlignment="1">
      <alignment horizontal="right" vertical="center" indent="1"/>
    </xf>
    <xf numFmtId="9" fontId="2" fillId="2" borderId="41" xfId="0" applyNumberFormat="1" applyFont="1" applyFill="1" applyBorder="1" applyAlignment="1">
      <alignment horizontal="right" vertical="center" indent="1"/>
    </xf>
    <xf numFmtId="9" fontId="2" fillId="2" borderId="32" xfId="0" applyNumberFormat="1" applyFont="1" applyFill="1" applyBorder="1" applyAlignment="1">
      <alignment horizontal="right" vertical="center" indent="1"/>
    </xf>
    <xf numFmtId="9" fontId="2" fillId="2" borderId="27" xfId="0" applyNumberFormat="1" applyFont="1" applyFill="1" applyBorder="1" applyAlignment="1">
      <alignment horizontal="right" vertical="center" indent="1"/>
    </xf>
    <xf numFmtId="9" fontId="2" fillId="2" borderId="28" xfId="0" applyNumberFormat="1" applyFont="1" applyFill="1" applyBorder="1" applyAlignment="1">
      <alignment horizontal="right" vertical="center" indent="1"/>
    </xf>
    <xf numFmtId="9" fontId="2" fillId="2" borderId="29" xfId="0" applyNumberFormat="1" applyFont="1" applyFill="1" applyBorder="1" applyAlignment="1">
      <alignment horizontal="right" vertical="center" indent="1"/>
    </xf>
    <xf numFmtId="0" fontId="2" fillId="2" borderId="39" xfId="0" applyFont="1" applyFill="1" applyBorder="1" applyAlignment="1">
      <alignment horizontal="right" vertical="center" indent="1"/>
    </xf>
    <xf numFmtId="0" fontId="2" fillId="2" borderId="41" xfId="0" applyFont="1" applyFill="1" applyBorder="1" applyAlignment="1">
      <alignment horizontal="right" vertical="center" indent="1"/>
    </xf>
    <xf numFmtId="0" fontId="2" fillId="2" borderId="32" xfId="0" applyFont="1" applyFill="1" applyBorder="1" applyAlignment="1">
      <alignment horizontal="right" vertical="center" indent="1"/>
    </xf>
    <xf numFmtId="0" fontId="2" fillId="2" borderId="27" xfId="0" applyFont="1" applyFill="1" applyBorder="1" applyAlignment="1">
      <alignment horizontal="right" vertical="center" indent="1"/>
    </xf>
    <xf numFmtId="0" fontId="2" fillId="2" borderId="28" xfId="0" applyFont="1" applyFill="1" applyBorder="1" applyAlignment="1">
      <alignment horizontal="right" vertical="center" indent="1"/>
    </xf>
    <xf numFmtId="0" fontId="2" fillId="2" borderId="29" xfId="0" applyFont="1" applyFill="1" applyBorder="1" applyAlignment="1">
      <alignment horizontal="right" vertical="center" indent="1"/>
    </xf>
    <xf numFmtId="9" fontId="17" fillId="3" borderId="33" xfId="0" applyNumberFormat="1" applyFont="1" applyFill="1" applyBorder="1" applyAlignment="1">
      <alignment horizontal="center" vertical="center" wrapText="1"/>
    </xf>
    <xf numFmtId="0" fontId="17" fillId="3" borderId="33" xfId="0" applyFont="1" applyFill="1" applyBorder="1" applyAlignment="1">
      <alignment horizontal="center" vertical="center" wrapText="1"/>
    </xf>
    <xf numFmtId="9" fontId="17" fillId="3" borderId="33" xfId="0" applyNumberFormat="1" applyFont="1" applyFill="1" applyBorder="1" applyAlignment="1">
      <alignment horizontal="center" vertical="center"/>
    </xf>
    <xf numFmtId="0" fontId="15" fillId="2" borderId="39" xfId="0" applyFont="1" applyFill="1" applyBorder="1" applyAlignment="1">
      <alignment horizontal="left" vertical="center" wrapText="1" indent="1"/>
    </xf>
    <xf numFmtId="0" fontId="15" fillId="2" borderId="41" xfId="0" applyFont="1" applyFill="1" applyBorder="1" applyAlignment="1">
      <alignment horizontal="left" vertical="center" wrapText="1" indent="1"/>
    </xf>
    <xf numFmtId="0" fontId="15" fillId="2" borderId="32" xfId="0" applyFont="1" applyFill="1" applyBorder="1" applyAlignment="1">
      <alignment horizontal="left" vertical="center" wrapText="1" indent="1"/>
    </xf>
    <xf numFmtId="0" fontId="15" fillId="2" borderId="27" xfId="0" applyFont="1" applyFill="1" applyBorder="1" applyAlignment="1">
      <alignment horizontal="left" vertical="center" wrapText="1" indent="1"/>
    </xf>
    <xf numFmtId="0" fontId="15" fillId="2" borderId="28" xfId="0" applyFont="1" applyFill="1" applyBorder="1" applyAlignment="1">
      <alignment horizontal="left" vertical="center" wrapText="1" indent="1"/>
    </xf>
    <xf numFmtId="0" fontId="15" fillId="2" borderId="29" xfId="0" applyFont="1" applyFill="1" applyBorder="1" applyAlignment="1">
      <alignment horizontal="left" vertical="center" wrapText="1" indent="1"/>
    </xf>
    <xf numFmtId="9" fontId="2" fillId="3" borderId="83" xfId="0" applyNumberFormat="1" applyFont="1" applyFill="1" applyBorder="1" applyAlignment="1">
      <alignment horizontal="center" vertical="center"/>
    </xf>
    <xf numFmtId="9" fontId="2" fillId="3" borderId="31" xfId="0" applyNumberFormat="1" applyFont="1" applyFill="1" applyBorder="1" applyAlignment="1">
      <alignment horizontal="center" vertical="center"/>
    </xf>
    <xf numFmtId="9" fontId="2" fillId="3" borderId="45" xfId="0" applyNumberFormat="1" applyFont="1" applyFill="1" applyBorder="1" applyAlignment="1">
      <alignment horizontal="center" vertical="center"/>
    </xf>
    <xf numFmtId="0" fontId="2" fillId="2" borderId="8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15" fillId="2" borderId="83"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5" fillId="2" borderId="45" xfId="0" applyFont="1" applyFill="1" applyBorder="1" applyAlignment="1">
      <alignment horizontal="left" vertical="center" wrapText="1" indent="1"/>
    </xf>
    <xf numFmtId="0" fontId="25" fillId="2" borderId="33" xfId="0" applyFont="1" applyFill="1" applyBorder="1" applyAlignment="1">
      <alignment horizontal="center" vertical="center"/>
    </xf>
    <xf numFmtId="9" fontId="36" fillId="3" borderId="33" xfId="0" applyNumberFormat="1" applyFont="1" applyFill="1" applyBorder="1" applyAlignment="1">
      <alignment horizontal="center" vertical="center"/>
    </xf>
    <xf numFmtId="0" fontId="17" fillId="2" borderId="33" xfId="0" applyFont="1" applyFill="1" applyBorder="1" applyAlignment="1">
      <alignment horizontal="right" vertical="center" wrapText="1" indent="1"/>
    </xf>
    <xf numFmtId="0" fontId="2" fillId="2" borderId="83" xfId="0" applyFont="1" applyFill="1" applyBorder="1" applyAlignment="1">
      <alignment horizontal="right" vertical="center" indent="1"/>
    </xf>
    <xf numFmtId="0" fontId="2" fillId="2" borderId="31" xfId="0" applyFont="1" applyFill="1" applyBorder="1" applyAlignment="1">
      <alignment horizontal="right" vertical="center" indent="1"/>
    </xf>
    <xf numFmtId="0" fontId="2" fillId="2" borderId="45" xfId="0" applyFont="1" applyFill="1" applyBorder="1" applyAlignment="1">
      <alignment horizontal="right" vertical="center" indent="1"/>
    </xf>
  </cellXfs>
  <cellStyles count="11">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3" xfId="1" xr:uid="{C64322EC-5387-4C29-A86D-264AA7D7FA59}"/>
    <cellStyle name="Normal 4" xfId="10" xr:uid="{C360C0DA-75C8-4E8E-8FC3-5A98DF0E6D3C}"/>
    <cellStyle name="Percent" xfId="9" builtinId="5"/>
    <cellStyle name="Percent 2" xfId="5" xr:uid="{39EC60F6-B595-461E-9046-914F3D3982B6}"/>
  </cellStyles>
  <dxfs count="47">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ont>
        <color theme="0" tint="-0.14996795556505021"/>
      </font>
      <fill>
        <patternFill patternType="solid">
          <fgColor rgb="FFF2F2F2"/>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ont>
        <color rgb="FFF2F2F2"/>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4096B1"/>
      <color rgb="FFFFFFCC"/>
      <color rgb="FFCCCCFF"/>
      <color rgb="FFB9D9E5"/>
      <color rgb="FFBDD7EE"/>
      <color rgb="FFE2F0D9"/>
      <color rgb="FF347D94"/>
      <color rgb="FFCCFFFF"/>
      <color rgb="FF81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Inputs not harming the </a:t>
            </a:r>
            <a:r>
              <a:rPr lang="en-CA" sz="1100" b="1">
                <a:latin typeface="Franklin Gothic Book" panose="020B0503020102020204" pitchFamily="34" charset="0"/>
              </a:rPr>
              <a:t>Environment</a:t>
            </a:r>
          </a:p>
        </c:rich>
      </c:tx>
      <c:layout>
        <c:manualLayout>
          <c:xMode val="edge"/>
          <c:yMode val="edge"/>
          <c:x val="0.1818847531608361"/>
          <c:y val="1.280830453081282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365292636613186"/>
          <c:y val="0.34837928247154337"/>
          <c:w val="0.57908185993612293"/>
          <c:h val="0.54776236254658039"/>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Scores'!$C$10:$C$13</c:f>
              <c:strCache>
                <c:ptCount val="4"/>
                <c:pt idx="0">
                  <c:v>Renewable energy</c:v>
                </c:pt>
                <c:pt idx="1">
                  <c:v>Water</c:v>
                </c:pt>
                <c:pt idx="2">
                  <c:v>Natural resources</c:v>
                </c:pt>
                <c:pt idx="3">
                  <c:v>Procurement</c:v>
                </c:pt>
              </c:strCache>
            </c:strRef>
          </c:cat>
          <c:val>
            <c:numRef>
              <c:f>'Break-Even Scores'!$E$10:$E$13</c:f>
              <c:numCache>
                <c:formatCode>0%</c:formatCode>
                <c:ptCount val="4"/>
                <c:pt idx="0">
                  <c:v>0.11214953271028037</c:v>
                </c:pt>
                <c:pt idx="1">
                  <c:v>0.78169014084507038</c:v>
                </c:pt>
                <c:pt idx="2">
                  <c:v>1</c:v>
                </c:pt>
                <c:pt idx="3">
                  <c:v>0.58377706780262695</c:v>
                </c:pt>
              </c:numCache>
            </c:numRef>
          </c:val>
          <c:extLst>
            <c:ext xmlns:c16="http://schemas.microsoft.com/office/drawing/2014/chart" uri="{C3380CC4-5D6E-409C-BE32-E72D297353CC}">
              <c16:uniqueId val="{00000000-E934-4A97-B9AB-237884277DF0}"/>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E2F0D9"/>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Operations not harming the </a:t>
            </a:r>
            <a:r>
              <a:rPr lang="en-CA" sz="1100" b="1">
                <a:latin typeface="Franklin Gothic Book" panose="020B0503020102020204" pitchFamily="34" charset="0"/>
              </a:rPr>
              <a:t>Environment</a:t>
            </a:r>
          </a:p>
        </c:rich>
      </c:tx>
      <c:layout>
        <c:manualLayout>
          <c:xMode val="edge"/>
          <c:yMode val="edge"/>
          <c:x val="0.11489493946553066"/>
          <c:y val="2.108156503768653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132472473140434"/>
          <c:y val="0.39457452738182336"/>
          <c:w val="0.58141006157085051"/>
          <c:h val="0.53474643379022657"/>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Scores'!$C$16:$C$19</c:f>
              <c:strCache>
                <c:ptCount val="4"/>
                <c:pt idx="0">
                  <c:v>Operations emissions</c:v>
                </c:pt>
                <c:pt idx="1">
                  <c:v>Operations GHGs</c:v>
                </c:pt>
                <c:pt idx="2">
                  <c:v>Operations waste</c:v>
                </c:pt>
                <c:pt idx="3">
                  <c:v>Encroachment</c:v>
                </c:pt>
              </c:strCache>
            </c:strRef>
          </c:cat>
          <c:val>
            <c:numRef>
              <c:f>'Break-Even Scores'!$E$16:$E$19</c:f>
              <c:numCache>
                <c:formatCode>0%</c:formatCode>
                <c:ptCount val="4"/>
                <c:pt idx="0">
                  <c:v>0.62663805616757784</c:v>
                </c:pt>
                <c:pt idx="1">
                  <c:v>0.29853228962818001</c:v>
                </c:pt>
                <c:pt idx="2">
                  <c:v>0.44862835249042143</c:v>
                </c:pt>
                <c:pt idx="3">
                  <c:v>0.35353535353535354</c:v>
                </c:pt>
              </c:numCache>
            </c:numRef>
          </c:val>
          <c:extLst>
            <c:ext xmlns:c16="http://schemas.microsoft.com/office/drawing/2014/chart" uri="{C3380CC4-5D6E-409C-BE32-E72D297353CC}">
              <c16:uniqueId val="{00000000-5408-448E-AEBF-DD6496EA0292}"/>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Products not harming the </a:t>
            </a:r>
            <a:r>
              <a:rPr lang="en-CA" sz="1100" b="1">
                <a:latin typeface="Franklin Gothic Book" panose="020B0503020102020204" pitchFamily="34" charset="0"/>
              </a:rPr>
              <a:t>Environment</a:t>
            </a:r>
          </a:p>
        </c:rich>
      </c:tx>
      <c:layout>
        <c:manualLayout>
          <c:xMode val="edge"/>
          <c:yMode val="edge"/>
          <c:x val="0.15309553220703054"/>
          <c:y val="4.2184616095903328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607477696214544"/>
          <c:y val="0.51683555361020606"/>
          <c:w val="0.57665994663526143"/>
          <c:h val="0.41248474168881916"/>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Scores'!$C$22:$C$23</c:f>
              <c:strCache>
                <c:ptCount val="2"/>
                <c:pt idx="0">
                  <c:v>Product GHGs</c:v>
                </c:pt>
                <c:pt idx="1">
                  <c:v>Repurposing</c:v>
                </c:pt>
              </c:strCache>
            </c:strRef>
          </c:cat>
          <c:val>
            <c:numRef>
              <c:f>'Break-Even Scores'!$E$22:$E$23</c:f>
              <c:numCache>
                <c:formatCode>0%</c:formatCode>
                <c:ptCount val="2"/>
                <c:pt idx="0">
                  <c:v>0.69237868184265172</c:v>
                </c:pt>
                <c:pt idx="1">
                  <c:v>0.74063981020458036</c:v>
                </c:pt>
              </c:numCache>
            </c:numRef>
          </c:val>
          <c:extLst>
            <c:ext xmlns:c16="http://schemas.microsoft.com/office/drawing/2014/chart" uri="{C3380CC4-5D6E-409C-BE32-E72D297353CC}">
              <c16:uniqueId val="{00000000-40C3-4042-9C9E-C31B34CB6335}"/>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not harming </a:t>
            </a:r>
            <a:r>
              <a:rPr lang="en-CA" sz="1100" b="1">
                <a:latin typeface="Franklin Gothic Book" panose="020B0503020102020204" pitchFamily="34" charset="0"/>
              </a:rPr>
              <a:t>Employees</a:t>
            </a:r>
          </a:p>
        </c:rich>
      </c:tx>
      <c:layout>
        <c:manualLayout>
          <c:xMode val="edge"/>
          <c:yMode val="edge"/>
          <c:x val="0.13753724204550613"/>
          <c:y val="3.108123905634916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4529393453976953"/>
          <c:y val="0.30485022435480025"/>
          <c:w val="0.56744085176248538"/>
          <c:h val="0.62447082541932264"/>
        </c:manualLayout>
      </c:layout>
      <c:barChart>
        <c:barDir val="bar"/>
        <c:grouping val="clustered"/>
        <c:varyColors val="0"/>
        <c:ser>
          <c:idx val="0"/>
          <c:order val="0"/>
          <c:spPr>
            <a:solidFill>
              <a:schemeClr val="accent1"/>
            </a:solidFill>
            <a:ln>
              <a:noFill/>
            </a:ln>
            <a:effectLst/>
          </c:spPr>
          <c:invertIfNegative val="0"/>
          <c:cat>
            <c:strRef>
              <c:f>'Break-Even Scores'!$C$26:$C$30</c:f>
              <c:strCache>
                <c:ptCount val="5"/>
                <c:pt idx="0">
                  <c:v>Employee health</c:v>
                </c:pt>
                <c:pt idx="1">
                  <c:v>Employee wages</c:v>
                </c:pt>
                <c:pt idx="2">
                  <c:v>Employment terms</c:v>
                </c:pt>
                <c:pt idx="3">
                  <c:v>Discrimination</c:v>
                </c:pt>
                <c:pt idx="4">
                  <c:v>Employee concerns</c:v>
                </c:pt>
              </c:strCache>
            </c:strRef>
          </c:cat>
          <c:val>
            <c:numRef>
              <c:f>'Break-Even Scores'!$E$26:$E$30</c:f>
              <c:numCache>
                <c:formatCode>0%</c:formatCode>
                <c:ptCount val="5"/>
                <c:pt idx="0">
                  <c:v>0.36341463414634145</c:v>
                </c:pt>
                <c:pt idx="1">
                  <c:v>0.69512195121951215</c:v>
                </c:pt>
                <c:pt idx="2">
                  <c:v>0.50731707317073171</c:v>
                </c:pt>
                <c:pt idx="3">
                  <c:v>0.12195121951219512</c:v>
                </c:pt>
                <c:pt idx="4">
                  <c:v>0.88048780487804879</c:v>
                </c:pt>
              </c:numCache>
            </c:numRef>
          </c:val>
          <c:extLst>
            <c:ext xmlns:c16="http://schemas.microsoft.com/office/drawing/2014/chart" uri="{C3380CC4-5D6E-409C-BE32-E72D297353CC}">
              <c16:uniqueId val="{00000000-435B-49EF-8C17-3A5348D87AEA}"/>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not harming </a:t>
            </a:r>
            <a:r>
              <a:rPr lang="en-CA" sz="1100" b="1">
                <a:latin typeface="Franklin Gothic Book" panose="020B0503020102020204" pitchFamily="34" charset="0"/>
              </a:rPr>
              <a:t>Communities</a:t>
            </a:r>
          </a:p>
        </c:rich>
      </c:tx>
      <c:layout>
        <c:manualLayout>
          <c:xMode val="edge"/>
          <c:yMode val="edge"/>
          <c:x val="0.15191366214339472"/>
          <c:y val="1.664159817623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4775784121655035"/>
          <c:y val="0.23077217557750032"/>
          <c:w val="0.56497694596614711"/>
          <c:h val="0.69854830991429939"/>
        </c:manualLayout>
      </c:layout>
      <c:barChart>
        <c:barDir val="bar"/>
        <c:grouping val="clustered"/>
        <c:varyColors val="0"/>
        <c:ser>
          <c:idx val="0"/>
          <c:order val="0"/>
          <c:spPr>
            <a:solidFill>
              <a:srgbClr val="4096B1"/>
            </a:solidFill>
            <a:ln>
              <a:noFill/>
            </a:ln>
            <a:effectLst/>
          </c:spPr>
          <c:invertIfNegative val="0"/>
          <c:cat>
            <c:strRef>
              <c:f>'Break-Even Scores'!$C$33:$C$40</c:f>
              <c:strCache>
                <c:ptCount val="8"/>
                <c:pt idx="0">
                  <c:v>Community health</c:v>
                </c:pt>
                <c:pt idx="1">
                  <c:v>Product communications</c:v>
                </c:pt>
                <c:pt idx="2">
                  <c:v>Product concerns</c:v>
                </c:pt>
                <c:pt idx="3">
                  <c:v>Product harm</c:v>
                </c:pt>
                <c:pt idx="4">
                  <c:v>Ethics</c:v>
                </c:pt>
                <c:pt idx="5">
                  <c:v>Right taxes </c:v>
                </c:pt>
                <c:pt idx="6">
                  <c:v>Lobbying</c:v>
                </c:pt>
                <c:pt idx="7">
                  <c:v>Financial assets</c:v>
                </c:pt>
              </c:strCache>
            </c:strRef>
          </c:cat>
          <c:val>
            <c:numRef>
              <c:f>'Break-Even Scores'!$E$33:$E$40</c:f>
              <c:numCache>
                <c:formatCode>0%</c:formatCode>
                <c:ptCount val="8"/>
                <c:pt idx="0">
                  <c:v>0.75000000000000011</c:v>
                </c:pt>
                <c:pt idx="1">
                  <c:v>0.42303699146350843</c:v>
                </c:pt>
                <c:pt idx="2">
                  <c:v>0.76926093978312693</c:v>
                </c:pt>
                <c:pt idx="3">
                  <c:v>0.3460739829270168</c:v>
                </c:pt>
                <c:pt idx="4">
                  <c:v>0.88115942028985506</c:v>
                </c:pt>
                <c:pt idx="5">
                  <c:v>0.6470588235294118</c:v>
                </c:pt>
                <c:pt idx="6">
                  <c:v>0.5</c:v>
                </c:pt>
                <c:pt idx="7">
                  <c:v>0.59272411616161624</c:v>
                </c:pt>
              </c:numCache>
            </c:numRef>
          </c:val>
          <c:extLst>
            <c:ext xmlns:c16="http://schemas.microsoft.com/office/drawing/2014/chart" uri="{C3380CC4-5D6E-409C-BE32-E72D297353CC}">
              <c16:uniqueId val="{00000000-4FEE-473A-88AD-C9D03DA3EFC1}"/>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B9D9E5"/>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a:t>
            </a:r>
            <a:r>
              <a:rPr lang="en-CA" sz="1100" b="1">
                <a:latin typeface="Franklin Gothic Book" panose="020B0503020102020204" pitchFamily="34" charset="0"/>
              </a:rPr>
              <a:t>Governance</a:t>
            </a:r>
          </a:p>
        </c:rich>
      </c:tx>
      <c:layout>
        <c:manualLayout>
          <c:xMode val="edge"/>
          <c:yMode val="edge"/>
          <c:x val="0.23286167585480336"/>
          <c:y val="5.417353429281858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374254886715493"/>
          <c:y val="0.5767368061595467"/>
          <c:w val="0.57899223854537518"/>
          <c:h val="0.3525834891394784"/>
        </c:manualLayout>
      </c:layout>
      <c:barChart>
        <c:barDir val="bar"/>
        <c:grouping val="clustered"/>
        <c:varyColors val="0"/>
        <c:ser>
          <c:idx val="0"/>
          <c:order val="0"/>
          <c:spPr>
            <a:solidFill>
              <a:schemeClr val="accent1"/>
            </a:solidFill>
            <a:ln>
              <a:noFill/>
            </a:ln>
            <a:effectLst/>
          </c:spPr>
          <c:invertIfNegative val="0"/>
          <c:cat>
            <c:strRef>
              <c:f>'Break-Even Scores'!$C$7:$D$7</c:f>
              <c:strCache>
                <c:ptCount val="1"/>
                <c:pt idx="0">
                  <c:v>Governance</c:v>
                </c:pt>
              </c:strCache>
            </c:strRef>
          </c:cat>
          <c:val>
            <c:numRef>
              <c:f>'Break-Even Scores'!$E$7</c:f>
              <c:numCache>
                <c:formatCode>0%</c:formatCode>
                <c:ptCount val="1"/>
                <c:pt idx="0">
                  <c:v>0.55000000000000004</c:v>
                </c:pt>
              </c:numCache>
            </c:numRef>
          </c:val>
          <c:extLst>
            <c:ext xmlns:c16="http://schemas.microsoft.com/office/drawing/2014/chart" uri="{C3380CC4-5D6E-409C-BE32-E72D297353CC}">
              <c16:uniqueId val="{00000000-D83A-4239-89BA-1D1714674D83}"/>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Z$52" lockText="1" noThreeD="1"/>
</file>

<file path=xl/ctrlProps/ctrlProp10.xml><?xml version="1.0" encoding="utf-8"?>
<formControlPr xmlns="http://schemas.microsoft.com/office/spreadsheetml/2009/9/main" objectType="CheckBox" checked="Checked" fmlaLink="$Z$61" lockText="1" noThreeD="1"/>
</file>

<file path=xl/ctrlProps/ctrlProp11.xml><?xml version="1.0" encoding="utf-8"?>
<formControlPr xmlns="http://schemas.microsoft.com/office/spreadsheetml/2009/9/main" objectType="CheckBox" fmlaLink="$AA$52" lockText="1" noThreeD="1"/>
</file>

<file path=xl/ctrlProps/ctrlProp12.xml><?xml version="1.0" encoding="utf-8"?>
<formControlPr xmlns="http://schemas.microsoft.com/office/spreadsheetml/2009/9/main" objectType="CheckBox" checked="Checked" fmlaLink="$AA$54" lockText="1" noThreeD="1"/>
</file>

<file path=xl/ctrlProps/ctrlProp13.xml><?xml version="1.0" encoding="utf-8"?>
<formControlPr xmlns="http://schemas.microsoft.com/office/spreadsheetml/2009/9/main" objectType="CheckBox" checked="Checked" fmlaLink="$AA$53" lockText="1" noThreeD="1"/>
</file>

<file path=xl/ctrlProps/ctrlProp14.xml><?xml version="1.0" encoding="utf-8"?>
<formControlPr xmlns="http://schemas.microsoft.com/office/spreadsheetml/2009/9/main" objectType="CheckBox" checked="Checked" fmlaLink="$AA$55" lockText="1" noThreeD="1"/>
</file>

<file path=xl/ctrlProps/ctrlProp15.xml><?xml version="1.0" encoding="utf-8"?>
<formControlPr xmlns="http://schemas.microsoft.com/office/spreadsheetml/2009/9/main" objectType="CheckBox" fmlaLink="$AA$56" lockText="1" noThreeD="1"/>
</file>

<file path=xl/ctrlProps/ctrlProp16.xml><?xml version="1.0" encoding="utf-8"?>
<formControlPr xmlns="http://schemas.microsoft.com/office/spreadsheetml/2009/9/main" objectType="CheckBox" fmlaLink="$AA$57" lockText="1" noThreeD="1"/>
</file>

<file path=xl/ctrlProps/ctrlProp17.xml><?xml version="1.0" encoding="utf-8"?>
<formControlPr xmlns="http://schemas.microsoft.com/office/spreadsheetml/2009/9/main" objectType="CheckBox" fmlaLink="$AA$58" lockText="1" noThreeD="1"/>
</file>

<file path=xl/ctrlProps/ctrlProp18.xml><?xml version="1.0" encoding="utf-8"?>
<formControlPr xmlns="http://schemas.microsoft.com/office/spreadsheetml/2009/9/main" objectType="CheckBox" checked="Checked" fmlaLink="$AA$59" lockText="1" noThreeD="1"/>
</file>

<file path=xl/ctrlProps/ctrlProp19.xml><?xml version="1.0" encoding="utf-8"?>
<formControlPr xmlns="http://schemas.microsoft.com/office/spreadsheetml/2009/9/main" objectType="CheckBox" checked="Checked" fmlaLink="$AA$60" lockText="1" noThreeD="1"/>
</file>

<file path=xl/ctrlProps/ctrlProp2.xml><?xml version="1.0" encoding="utf-8"?>
<formControlPr xmlns="http://schemas.microsoft.com/office/spreadsheetml/2009/9/main" objectType="CheckBox" fmlaLink="$Z$53" lockText="1" noThreeD="1"/>
</file>

<file path=xl/ctrlProps/ctrlProp20.xml><?xml version="1.0" encoding="utf-8"?>
<formControlPr xmlns="http://schemas.microsoft.com/office/spreadsheetml/2009/9/main" objectType="CheckBox" fmlaLink="$AA$61" lockText="1" noThreeD="1"/>
</file>

<file path=xl/ctrlProps/ctrlProp21.xml><?xml version="1.0" encoding="utf-8"?>
<formControlPr xmlns="http://schemas.microsoft.com/office/spreadsheetml/2009/9/main" objectType="CheckBox" checked="Checked" fmlaLink="$AB$52" lockText="1" noThreeD="1"/>
</file>

<file path=xl/ctrlProps/ctrlProp22.xml><?xml version="1.0" encoding="utf-8"?>
<formControlPr xmlns="http://schemas.microsoft.com/office/spreadsheetml/2009/9/main" objectType="CheckBox" fmlaLink="$AB$53" lockText="1" noThreeD="1"/>
</file>

<file path=xl/ctrlProps/ctrlProp23.xml><?xml version="1.0" encoding="utf-8"?>
<formControlPr xmlns="http://schemas.microsoft.com/office/spreadsheetml/2009/9/main" objectType="CheckBox" fmlaLink="$AB$54" lockText="1" noThreeD="1"/>
</file>

<file path=xl/ctrlProps/ctrlProp24.xml><?xml version="1.0" encoding="utf-8"?>
<formControlPr xmlns="http://schemas.microsoft.com/office/spreadsheetml/2009/9/main" objectType="CheckBox" checked="Checked" fmlaLink="$AB$56" lockText="1" noThreeD="1"/>
</file>

<file path=xl/ctrlProps/ctrlProp25.xml><?xml version="1.0" encoding="utf-8"?>
<formControlPr xmlns="http://schemas.microsoft.com/office/spreadsheetml/2009/9/main" objectType="CheckBox" checked="Checked" fmlaLink="$AB$57" lockText="1" noThreeD="1"/>
</file>

<file path=xl/ctrlProps/ctrlProp26.xml><?xml version="1.0" encoding="utf-8"?>
<formControlPr xmlns="http://schemas.microsoft.com/office/spreadsheetml/2009/9/main" objectType="CheckBox" fmlaLink="$AB$58" lockText="1" noThreeD="1"/>
</file>

<file path=xl/ctrlProps/ctrlProp27.xml><?xml version="1.0" encoding="utf-8"?>
<formControlPr xmlns="http://schemas.microsoft.com/office/spreadsheetml/2009/9/main" objectType="CheckBox" fmlaLink="$AB$59" lockText="1" noThreeD="1"/>
</file>

<file path=xl/ctrlProps/ctrlProp28.xml><?xml version="1.0" encoding="utf-8"?>
<formControlPr xmlns="http://schemas.microsoft.com/office/spreadsheetml/2009/9/main" objectType="CheckBox" fmlaLink="$AB$60" lockText="1" noThreeD="1"/>
</file>

<file path=xl/ctrlProps/ctrlProp29.xml><?xml version="1.0" encoding="utf-8"?>
<formControlPr xmlns="http://schemas.microsoft.com/office/spreadsheetml/2009/9/main" objectType="CheckBox" fmlaLink="$AB$61" lockText="1" noThreeD="1"/>
</file>

<file path=xl/ctrlProps/ctrlProp3.xml><?xml version="1.0" encoding="utf-8"?>
<formControlPr xmlns="http://schemas.microsoft.com/office/spreadsheetml/2009/9/main" objectType="CheckBox" fmlaLink="$Z$54" lockText="1" noThreeD="1"/>
</file>

<file path=xl/ctrlProps/ctrlProp30.xml><?xml version="1.0" encoding="utf-8"?>
<formControlPr xmlns="http://schemas.microsoft.com/office/spreadsheetml/2009/9/main" objectType="CheckBox" fmlaLink="$AB$55" lockText="1" noThreeD="1"/>
</file>

<file path=xl/ctrlProps/ctrlProp31.xml><?xml version="1.0" encoding="utf-8"?>
<formControlPr xmlns="http://schemas.microsoft.com/office/spreadsheetml/2009/9/main" objectType="CheckBox" fmlaLink="$Z$66" lockText="1" noThreeD="1"/>
</file>

<file path=xl/ctrlProps/ctrlProp32.xml><?xml version="1.0" encoding="utf-8"?>
<formControlPr xmlns="http://schemas.microsoft.com/office/spreadsheetml/2009/9/main" objectType="CheckBox" checked="Checked" fmlaLink="$Z$69" lockText="1" noThreeD="1"/>
</file>

<file path=xl/ctrlProps/ctrlProp33.xml><?xml version="1.0" encoding="utf-8"?>
<formControlPr xmlns="http://schemas.microsoft.com/office/spreadsheetml/2009/9/main" objectType="CheckBox" checked="Checked" fmlaLink="$Z$65" lockText="1" noThreeD="1"/>
</file>

<file path=xl/ctrlProps/ctrlProp34.xml><?xml version="1.0" encoding="utf-8"?>
<formControlPr xmlns="http://schemas.microsoft.com/office/spreadsheetml/2009/9/main" objectType="CheckBox" checked="Checked" fmlaLink="$Z$67" lockText="1" noThreeD="1"/>
</file>

<file path=xl/ctrlProps/ctrlProp35.xml><?xml version="1.0" encoding="utf-8"?>
<formControlPr xmlns="http://schemas.microsoft.com/office/spreadsheetml/2009/9/main" objectType="CheckBox" checked="Checked" fmlaLink="$Z$70" lockText="1" noThreeD="1"/>
</file>

<file path=xl/ctrlProps/ctrlProp36.xml><?xml version="1.0" encoding="utf-8"?>
<formControlPr xmlns="http://schemas.microsoft.com/office/spreadsheetml/2009/9/main" objectType="CheckBox" checked="Checked" fmlaLink="$Z$68" lockText="1" noThreeD="1"/>
</file>

<file path=xl/ctrlProps/ctrlProp4.xml><?xml version="1.0" encoding="utf-8"?>
<formControlPr xmlns="http://schemas.microsoft.com/office/spreadsheetml/2009/9/main" objectType="CheckBox" fmlaLink="$Z$55" lockText="1" noThreeD="1"/>
</file>

<file path=xl/ctrlProps/ctrlProp5.xml><?xml version="1.0" encoding="utf-8"?>
<formControlPr xmlns="http://schemas.microsoft.com/office/spreadsheetml/2009/9/main" objectType="CheckBox" fmlaLink="$Z$56" lockText="1" noThreeD="1"/>
</file>

<file path=xl/ctrlProps/ctrlProp6.xml><?xml version="1.0" encoding="utf-8"?>
<formControlPr xmlns="http://schemas.microsoft.com/office/spreadsheetml/2009/9/main" objectType="CheckBox" fmlaLink="$Z$57" lockText="1" noThreeD="1"/>
</file>

<file path=xl/ctrlProps/ctrlProp7.xml><?xml version="1.0" encoding="utf-8"?>
<formControlPr xmlns="http://schemas.microsoft.com/office/spreadsheetml/2009/9/main" objectType="CheckBox" checked="Checked" fmlaLink="$Z$58" lockText="1" noThreeD="1"/>
</file>

<file path=xl/ctrlProps/ctrlProp8.xml><?xml version="1.0" encoding="utf-8"?>
<formControlPr xmlns="http://schemas.microsoft.com/office/spreadsheetml/2009/9/main" objectType="CheckBox" fmlaLink="$Z$59" lockText="1" noThreeD="1"/>
</file>

<file path=xl/ctrlProps/ctrlProp9.xml><?xml version="1.0" encoding="utf-8"?>
<formControlPr xmlns="http://schemas.microsoft.com/office/spreadsheetml/2009/9/main" objectType="CheckBox" fmlaLink="$Z$6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18" Type="http://schemas.openxmlformats.org/officeDocument/2006/relationships/image" Target="../media/image28.png"/><Relationship Id="rId26" Type="http://schemas.openxmlformats.org/officeDocument/2006/relationships/image" Target="../media/image36.png"/><Relationship Id="rId3" Type="http://schemas.openxmlformats.org/officeDocument/2006/relationships/image" Target="../media/image13.png"/><Relationship Id="rId21" Type="http://schemas.openxmlformats.org/officeDocument/2006/relationships/image" Target="../media/image31.png"/><Relationship Id="rId7"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27.png"/><Relationship Id="rId25" Type="http://schemas.openxmlformats.org/officeDocument/2006/relationships/image" Target="../media/image35.png"/><Relationship Id="rId2" Type="http://schemas.openxmlformats.org/officeDocument/2006/relationships/image" Target="../media/image12.png"/><Relationship Id="rId16" Type="http://schemas.openxmlformats.org/officeDocument/2006/relationships/image" Target="../media/image26.png"/><Relationship Id="rId20" Type="http://schemas.openxmlformats.org/officeDocument/2006/relationships/image" Target="../media/image30.png"/><Relationship Id="rId29" Type="http://schemas.openxmlformats.org/officeDocument/2006/relationships/image" Target="../media/image39.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24" Type="http://schemas.openxmlformats.org/officeDocument/2006/relationships/image" Target="../media/image34.png"/><Relationship Id="rId5" Type="http://schemas.openxmlformats.org/officeDocument/2006/relationships/image" Target="../media/image15.png"/><Relationship Id="rId15" Type="http://schemas.openxmlformats.org/officeDocument/2006/relationships/image" Target="../media/image25.png"/><Relationship Id="rId23" Type="http://schemas.openxmlformats.org/officeDocument/2006/relationships/image" Target="../media/image33.png"/><Relationship Id="rId28" Type="http://schemas.openxmlformats.org/officeDocument/2006/relationships/image" Target="../media/image38.png"/><Relationship Id="rId10" Type="http://schemas.openxmlformats.org/officeDocument/2006/relationships/image" Target="../media/image20.png"/><Relationship Id="rId19" Type="http://schemas.openxmlformats.org/officeDocument/2006/relationships/image" Target="../media/image29.png"/><Relationship Id="rId31" Type="http://schemas.openxmlformats.org/officeDocument/2006/relationships/image" Target="../media/image41.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2.png"/><Relationship Id="rId27" Type="http://schemas.openxmlformats.org/officeDocument/2006/relationships/image" Target="../media/image37.png"/><Relationship Id="rId30"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3</xdr:col>
      <xdr:colOff>137704</xdr:colOff>
      <xdr:row>43</xdr:row>
      <xdr:rowOff>16563</xdr:rowOff>
    </xdr:from>
    <xdr:to>
      <xdr:col>4</xdr:col>
      <xdr:colOff>782394</xdr:colOff>
      <xdr:row>46</xdr:row>
      <xdr:rowOff>20141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892" y="15399998"/>
          <a:ext cx="6047943" cy="3913459"/>
        </a:xfrm>
        <a:prstGeom prst="rect">
          <a:avLst/>
        </a:prstGeom>
      </xdr:spPr>
    </xdr:pic>
    <xdr:clientData/>
  </xdr:twoCellAnchor>
  <xdr:twoCellAnchor editAs="oneCell">
    <xdr:from>
      <xdr:col>3</xdr:col>
      <xdr:colOff>136071</xdr:colOff>
      <xdr:row>47</xdr:row>
      <xdr:rowOff>21770</xdr:rowOff>
    </xdr:from>
    <xdr:to>
      <xdr:col>4</xdr:col>
      <xdr:colOff>748525</xdr:colOff>
      <xdr:row>50</xdr:row>
      <xdr:rowOff>25548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76259" y="19439323"/>
          <a:ext cx="6016977" cy="4203145"/>
        </a:xfrm>
        <a:prstGeom prst="rect">
          <a:avLst/>
        </a:prstGeom>
      </xdr:spPr>
    </xdr:pic>
    <xdr:clientData/>
  </xdr:twoCellAnchor>
  <xdr:twoCellAnchor editAs="oneCell">
    <xdr:from>
      <xdr:col>3</xdr:col>
      <xdr:colOff>139520</xdr:colOff>
      <xdr:row>51</xdr:row>
      <xdr:rowOff>19958</xdr:rowOff>
    </xdr:from>
    <xdr:to>
      <xdr:col>4</xdr:col>
      <xdr:colOff>708625</xdr:colOff>
      <xdr:row>53</xdr:row>
      <xdr:rowOff>1473322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79708" y="23767464"/>
          <a:ext cx="5968548" cy="4254238"/>
        </a:xfrm>
        <a:prstGeom prst="rect">
          <a:avLst/>
        </a:prstGeom>
      </xdr:spPr>
    </xdr:pic>
    <xdr:clientData/>
  </xdr:twoCellAnchor>
  <xdr:oneCellAnchor>
    <xdr:from>
      <xdr:col>1</xdr:col>
      <xdr:colOff>17929</xdr:colOff>
      <xdr:row>2</xdr:row>
      <xdr:rowOff>83222</xdr:rowOff>
    </xdr:from>
    <xdr:ext cx="928495" cy="1193576"/>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97223" y="782469"/>
          <a:ext cx="928495" cy="1193576"/>
        </a:xfrm>
        <a:prstGeom prst="rect">
          <a:avLst/>
        </a:prstGeom>
      </xdr:spPr>
    </xdr:pic>
    <xdr:clientData/>
  </xdr:oneCellAnchor>
  <xdr:twoCellAnchor editAs="oneCell">
    <xdr:from>
      <xdr:col>1</xdr:col>
      <xdr:colOff>20301</xdr:colOff>
      <xdr:row>7</xdr:row>
      <xdr:rowOff>99618</xdr:rowOff>
    </xdr:from>
    <xdr:to>
      <xdr:col>3</xdr:col>
      <xdr:colOff>268941</xdr:colOff>
      <xdr:row>26</xdr:row>
      <xdr:rowOff>139680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9595" y="3837900"/>
          <a:ext cx="5609534" cy="3907735"/>
        </a:xfrm>
        <a:prstGeom prst="rect">
          <a:avLst/>
        </a:prstGeom>
      </xdr:spPr>
    </xdr:pic>
    <xdr:clientData/>
  </xdr:twoCellAnchor>
  <xdr:twoCellAnchor editAs="oneCell">
    <xdr:from>
      <xdr:col>3</xdr:col>
      <xdr:colOff>528918</xdr:colOff>
      <xdr:row>7</xdr:row>
      <xdr:rowOff>108297</xdr:rowOff>
    </xdr:from>
    <xdr:to>
      <xdr:col>4</xdr:col>
      <xdr:colOff>787169</xdr:colOff>
      <xdr:row>26</xdr:row>
      <xdr:rowOff>134305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69106" y="3846579"/>
          <a:ext cx="5667854" cy="3900031"/>
        </a:xfrm>
        <a:prstGeom prst="rect">
          <a:avLst/>
        </a:prstGeom>
      </xdr:spPr>
    </xdr:pic>
    <xdr:clientData/>
  </xdr:twoCellAnchor>
  <xdr:twoCellAnchor editAs="oneCell">
    <xdr:from>
      <xdr:col>2</xdr:col>
      <xdr:colOff>3319780</xdr:colOff>
      <xdr:row>67</xdr:row>
      <xdr:rowOff>0</xdr:rowOff>
    </xdr:from>
    <xdr:to>
      <xdr:col>3</xdr:col>
      <xdr:colOff>497750</xdr:colOff>
      <xdr:row>68</xdr:row>
      <xdr:rowOff>30480</xdr:rowOff>
    </xdr:to>
    <xdr:pic>
      <xdr:nvPicPr>
        <xdr:cNvPr id="2" name="Picture 1">
          <a:extLst>
            <a:ext uri="{FF2B5EF4-FFF2-40B4-BE49-F238E27FC236}">
              <a16:creationId xmlns:a16="http://schemas.microsoft.com/office/drawing/2014/main" id="{2729BF4C-6C72-4D9B-967D-64380DB4FC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08500" y="35029140"/>
          <a:ext cx="1437550" cy="464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1097277</xdr:colOff>
      <xdr:row>8</xdr:row>
      <xdr:rowOff>358587</xdr:rowOff>
    </xdr:from>
    <xdr:to>
      <xdr:col>8</xdr:col>
      <xdr:colOff>1173307</xdr:colOff>
      <xdr:row>14</xdr:row>
      <xdr:rowOff>40659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1097277</xdr:colOff>
      <xdr:row>14</xdr:row>
      <xdr:rowOff>364952</xdr:rowOff>
    </xdr:from>
    <xdr:to>
      <xdr:col>8</xdr:col>
      <xdr:colOff>1173307</xdr:colOff>
      <xdr:row>19</xdr:row>
      <xdr:rowOff>233082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1129027</xdr:colOff>
      <xdr:row>20</xdr:row>
      <xdr:rowOff>419042</xdr:rowOff>
    </xdr:from>
    <xdr:to>
      <xdr:col>8</xdr:col>
      <xdr:colOff>1168867</xdr:colOff>
      <xdr:row>24</xdr:row>
      <xdr:rowOff>152343</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1098547</xdr:colOff>
      <xdr:row>24</xdr:row>
      <xdr:rowOff>401992</xdr:rowOff>
    </xdr:from>
    <xdr:to>
      <xdr:col>8</xdr:col>
      <xdr:colOff>1174577</xdr:colOff>
      <xdr:row>31</xdr:row>
      <xdr:rowOff>95933</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1112336</xdr:colOff>
      <xdr:row>31</xdr:row>
      <xdr:rowOff>402216</xdr:rowOff>
    </xdr:from>
    <xdr:to>
      <xdr:col>8</xdr:col>
      <xdr:colOff>1161475</xdr:colOff>
      <xdr:row>41</xdr:row>
      <xdr:rowOff>907</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784860</xdr:colOff>
          <xdr:row>51</xdr:row>
          <xdr:rowOff>160020</xdr:rowOff>
        </xdr:from>
        <xdr:to>
          <xdr:col>7</xdr:col>
          <xdr:colOff>1059180</xdr:colOff>
          <xdr:row>63</xdr:row>
          <xdr:rowOff>243840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52</xdr:row>
          <xdr:rowOff>38100</xdr:rowOff>
        </xdr:from>
        <xdr:to>
          <xdr:col>7</xdr:col>
          <xdr:colOff>982980</xdr:colOff>
          <xdr:row>63</xdr:row>
          <xdr:rowOff>274320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53</xdr:row>
          <xdr:rowOff>22860</xdr:rowOff>
        </xdr:from>
        <xdr:to>
          <xdr:col>7</xdr:col>
          <xdr:colOff>1013460</xdr:colOff>
          <xdr:row>63</xdr:row>
          <xdr:rowOff>289560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54</xdr:row>
          <xdr:rowOff>99060</xdr:rowOff>
        </xdr:from>
        <xdr:to>
          <xdr:col>7</xdr:col>
          <xdr:colOff>1021080</xdr:colOff>
          <xdr:row>63</xdr:row>
          <xdr:rowOff>152400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55</xdr:row>
          <xdr:rowOff>121920</xdr:rowOff>
        </xdr:from>
        <xdr:to>
          <xdr:col>7</xdr:col>
          <xdr:colOff>1059180</xdr:colOff>
          <xdr:row>63</xdr:row>
          <xdr:rowOff>365760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56</xdr:row>
          <xdr:rowOff>0</xdr:rowOff>
        </xdr:from>
        <xdr:to>
          <xdr:col>7</xdr:col>
          <xdr:colOff>1059180</xdr:colOff>
          <xdr:row>63</xdr:row>
          <xdr:rowOff>358140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56</xdr:row>
          <xdr:rowOff>289560</xdr:rowOff>
        </xdr:from>
        <xdr:to>
          <xdr:col>7</xdr:col>
          <xdr:colOff>1059180</xdr:colOff>
          <xdr:row>63</xdr:row>
          <xdr:rowOff>358140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58</xdr:row>
          <xdr:rowOff>15240</xdr:rowOff>
        </xdr:from>
        <xdr:to>
          <xdr:col>7</xdr:col>
          <xdr:colOff>1059180</xdr:colOff>
          <xdr:row>63</xdr:row>
          <xdr:rowOff>365760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58</xdr:row>
          <xdr:rowOff>449580</xdr:rowOff>
        </xdr:from>
        <xdr:to>
          <xdr:col>7</xdr:col>
          <xdr:colOff>1059180</xdr:colOff>
          <xdr:row>63</xdr:row>
          <xdr:rowOff>358140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59</xdr:row>
          <xdr:rowOff>289560</xdr:rowOff>
        </xdr:from>
        <xdr:to>
          <xdr:col>7</xdr:col>
          <xdr:colOff>1059180</xdr:colOff>
          <xdr:row>63</xdr:row>
          <xdr:rowOff>358140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51</xdr:row>
          <xdr:rowOff>76200</xdr:rowOff>
        </xdr:from>
        <xdr:to>
          <xdr:col>8</xdr:col>
          <xdr:colOff>1021080</xdr:colOff>
          <xdr:row>63</xdr:row>
          <xdr:rowOff>403860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53</xdr:row>
          <xdr:rowOff>0</xdr:rowOff>
        </xdr:from>
        <xdr:to>
          <xdr:col>8</xdr:col>
          <xdr:colOff>1097280</xdr:colOff>
          <xdr:row>63</xdr:row>
          <xdr:rowOff>289560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52</xdr:row>
          <xdr:rowOff>0</xdr:rowOff>
        </xdr:from>
        <xdr:to>
          <xdr:col>8</xdr:col>
          <xdr:colOff>1021080</xdr:colOff>
          <xdr:row>63</xdr:row>
          <xdr:rowOff>289560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53</xdr:row>
          <xdr:rowOff>289560</xdr:rowOff>
        </xdr:from>
        <xdr:to>
          <xdr:col>8</xdr:col>
          <xdr:colOff>1028700</xdr:colOff>
          <xdr:row>63</xdr:row>
          <xdr:rowOff>358140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55</xdr:row>
          <xdr:rowOff>121920</xdr:rowOff>
        </xdr:from>
        <xdr:to>
          <xdr:col>8</xdr:col>
          <xdr:colOff>1028700</xdr:colOff>
          <xdr:row>63</xdr:row>
          <xdr:rowOff>365760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55</xdr:row>
          <xdr:rowOff>518160</xdr:rowOff>
        </xdr:from>
        <xdr:to>
          <xdr:col>8</xdr:col>
          <xdr:colOff>1028700</xdr:colOff>
          <xdr:row>63</xdr:row>
          <xdr:rowOff>358140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56</xdr:row>
          <xdr:rowOff>289560</xdr:rowOff>
        </xdr:from>
        <xdr:to>
          <xdr:col>8</xdr:col>
          <xdr:colOff>1028700</xdr:colOff>
          <xdr:row>63</xdr:row>
          <xdr:rowOff>434340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58</xdr:row>
          <xdr:rowOff>7620</xdr:rowOff>
        </xdr:from>
        <xdr:to>
          <xdr:col>8</xdr:col>
          <xdr:colOff>1028700</xdr:colOff>
          <xdr:row>63</xdr:row>
          <xdr:rowOff>449580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58</xdr:row>
          <xdr:rowOff>441960</xdr:rowOff>
        </xdr:from>
        <xdr:to>
          <xdr:col>8</xdr:col>
          <xdr:colOff>1028700</xdr:colOff>
          <xdr:row>63</xdr:row>
          <xdr:rowOff>403860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59</xdr:row>
          <xdr:rowOff>289560</xdr:rowOff>
        </xdr:from>
        <xdr:to>
          <xdr:col>8</xdr:col>
          <xdr:colOff>1066800</xdr:colOff>
          <xdr:row>63</xdr:row>
          <xdr:rowOff>358140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51</xdr:row>
          <xdr:rowOff>121920</xdr:rowOff>
        </xdr:from>
        <xdr:to>
          <xdr:col>9</xdr:col>
          <xdr:colOff>1013460</xdr:colOff>
          <xdr:row>63</xdr:row>
          <xdr:rowOff>289560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52</xdr:row>
          <xdr:rowOff>22860</xdr:rowOff>
        </xdr:from>
        <xdr:to>
          <xdr:col>9</xdr:col>
          <xdr:colOff>990600</xdr:colOff>
          <xdr:row>63</xdr:row>
          <xdr:rowOff>266700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53</xdr:row>
          <xdr:rowOff>22860</xdr:rowOff>
        </xdr:from>
        <xdr:to>
          <xdr:col>9</xdr:col>
          <xdr:colOff>990600</xdr:colOff>
          <xdr:row>63</xdr:row>
          <xdr:rowOff>289560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55</xdr:row>
          <xdr:rowOff>121920</xdr:rowOff>
        </xdr:from>
        <xdr:to>
          <xdr:col>9</xdr:col>
          <xdr:colOff>1074420</xdr:colOff>
          <xdr:row>63</xdr:row>
          <xdr:rowOff>365760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55</xdr:row>
          <xdr:rowOff>518160</xdr:rowOff>
        </xdr:from>
        <xdr:to>
          <xdr:col>9</xdr:col>
          <xdr:colOff>1074420</xdr:colOff>
          <xdr:row>63</xdr:row>
          <xdr:rowOff>350520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56</xdr:row>
          <xdr:rowOff>289560</xdr:rowOff>
        </xdr:from>
        <xdr:to>
          <xdr:col>9</xdr:col>
          <xdr:colOff>1074420</xdr:colOff>
          <xdr:row>63</xdr:row>
          <xdr:rowOff>350520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58</xdr:row>
          <xdr:rowOff>7620</xdr:rowOff>
        </xdr:from>
        <xdr:to>
          <xdr:col>9</xdr:col>
          <xdr:colOff>1074420</xdr:colOff>
          <xdr:row>63</xdr:row>
          <xdr:rowOff>365760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58</xdr:row>
          <xdr:rowOff>441960</xdr:rowOff>
        </xdr:from>
        <xdr:to>
          <xdr:col>9</xdr:col>
          <xdr:colOff>1074420</xdr:colOff>
          <xdr:row>63</xdr:row>
          <xdr:rowOff>358140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59</xdr:row>
          <xdr:rowOff>289560</xdr:rowOff>
        </xdr:from>
        <xdr:to>
          <xdr:col>9</xdr:col>
          <xdr:colOff>1074420</xdr:colOff>
          <xdr:row>63</xdr:row>
          <xdr:rowOff>358140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53</xdr:row>
          <xdr:rowOff>304800</xdr:rowOff>
        </xdr:from>
        <xdr:to>
          <xdr:col>9</xdr:col>
          <xdr:colOff>1043940</xdr:colOff>
          <xdr:row>63</xdr:row>
          <xdr:rowOff>342900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65</xdr:row>
          <xdr:rowOff>22860</xdr:rowOff>
        </xdr:from>
        <xdr:to>
          <xdr:col>1</xdr:col>
          <xdr:colOff>914400</xdr:colOff>
          <xdr:row>65</xdr:row>
          <xdr:rowOff>213360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68</xdr:row>
          <xdr:rowOff>22860</xdr:rowOff>
        </xdr:from>
        <xdr:to>
          <xdr:col>1</xdr:col>
          <xdr:colOff>899160</xdr:colOff>
          <xdr:row>68</xdr:row>
          <xdr:rowOff>251460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64</xdr:row>
          <xdr:rowOff>22860</xdr:rowOff>
        </xdr:from>
        <xdr:to>
          <xdr:col>1</xdr:col>
          <xdr:colOff>899160</xdr:colOff>
          <xdr:row>64</xdr:row>
          <xdr:rowOff>213360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66</xdr:row>
          <xdr:rowOff>22860</xdr:rowOff>
        </xdr:from>
        <xdr:to>
          <xdr:col>1</xdr:col>
          <xdr:colOff>899160</xdr:colOff>
          <xdr:row>66</xdr:row>
          <xdr:rowOff>213360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69</xdr:row>
          <xdr:rowOff>22860</xdr:rowOff>
        </xdr:from>
        <xdr:to>
          <xdr:col>1</xdr:col>
          <xdr:colOff>899160</xdr:colOff>
          <xdr:row>69</xdr:row>
          <xdr:rowOff>251460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67</xdr:row>
          <xdr:rowOff>22860</xdr:rowOff>
        </xdr:from>
        <xdr:to>
          <xdr:col>1</xdr:col>
          <xdr:colOff>914400</xdr:colOff>
          <xdr:row>67</xdr:row>
          <xdr:rowOff>213360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1090814</xdr:colOff>
      <xdr:row>5</xdr:row>
      <xdr:rowOff>259426</xdr:rowOff>
    </xdr:from>
    <xdr:to>
      <xdr:col>8</xdr:col>
      <xdr:colOff>1130654</xdr:colOff>
      <xdr:row>7</xdr:row>
      <xdr:rowOff>215153</xdr:rowOff>
    </xdr:to>
    <xdr:graphicFrame macro="">
      <xdr:nvGraphicFramePr>
        <xdr:cNvPr id="45" name="Chart 44">
          <a:extLst>
            <a:ext uri="{FF2B5EF4-FFF2-40B4-BE49-F238E27FC236}">
              <a16:creationId xmlns:a16="http://schemas.microsoft.com/office/drawing/2014/main" id="{00000000-0008-0000-02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222250</xdr:colOff>
      <xdr:row>3</xdr:row>
      <xdr:rowOff>45447</xdr:rowOff>
    </xdr:from>
    <xdr:to>
      <xdr:col>9</xdr:col>
      <xdr:colOff>1182370</xdr:colOff>
      <xdr:row>5</xdr:row>
      <xdr:rowOff>1048946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096500" y="1328147"/>
          <a:ext cx="3841750" cy="3403799"/>
        </a:xfrm>
        <a:prstGeom prst="rect">
          <a:avLst/>
        </a:prstGeom>
      </xdr:spPr>
    </xdr:pic>
    <xdr:clientData/>
  </xdr:twoCellAnchor>
  <xdr:twoCellAnchor editAs="oneCell">
    <xdr:from>
      <xdr:col>1</xdr:col>
      <xdr:colOff>1806096</xdr:colOff>
      <xdr:row>3</xdr:row>
      <xdr:rowOff>768426</xdr:rowOff>
    </xdr:from>
    <xdr:to>
      <xdr:col>5</xdr:col>
      <xdr:colOff>328813</xdr:colOff>
      <xdr:row>5</xdr:row>
      <xdr:rowOff>165177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003320" y="2041414"/>
          <a:ext cx="5479328" cy="1791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22594</xdr:colOff>
      <xdr:row>5</xdr:row>
      <xdr:rowOff>88700</xdr:rowOff>
    </xdr:from>
    <xdr:to>
      <xdr:col>12</xdr:col>
      <xdr:colOff>632465</xdr:colOff>
      <xdr:row>6</xdr:row>
      <xdr:rowOff>403494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3794" y="3041450"/>
          <a:ext cx="729674" cy="704473"/>
        </a:xfrm>
        <a:prstGeom prst="rect">
          <a:avLst/>
        </a:prstGeom>
      </xdr:spPr>
    </xdr:pic>
    <xdr:clientData/>
  </xdr:twoCellAnchor>
  <xdr:twoCellAnchor editAs="oneCell">
    <xdr:from>
      <xdr:col>16</xdr:col>
      <xdr:colOff>25713</xdr:colOff>
      <xdr:row>5</xdr:row>
      <xdr:rowOff>88700</xdr:rowOff>
    </xdr:from>
    <xdr:to>
      <xdr:col>16</xdr:col>
      <xdr:colOff>635128</xdr:colOff>
      <xdr:row>6</xdr:row>
      <xdr:rowOff>403494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68713" y="3085900"/>
          <a:ext cx="710887" cy="717173"/>
        </a:xfrm>
        <a:prstGeom prst="rect">
          <a:avLst/>
        </a:prstGeom>
      </xdr:spPr>
    </xdr:pic>
    <xdr:clientData/>
  </xdr:twoCellAnchor>
  <xdr:twoCellAnchor editAs="oneCell">
    <xdr:from>
      <xdr:col>17</xdr:col>
      <xdr:colOff>28866</xdr:colOff>
      <xdr:row>5</xdr:row>
      <xdr:rowOff>88699</xdr:rowOff>
    </xdr:from>
    <xdr:to>
      <xdr:col>17</xdr:col>
      <xdr:colOff>646669</xdr:colOff>
      <xdr:row>6</xdr:row>
      <xdr:rowOff>381108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14816" y="3041449"/>
          <a:ext cx="722366" cy="716378"/>
        </a:xfrm>
        <a:prstGeom prst="rect">
          <a:avLst/>
        </a:prstGeom>
      </xdr:spPr>
    </xdr:pic>
    <xdr:clientData/>
  </xdr:twoCellAnchor>
  <xdr:twoCellAnchor editAs="oneCell">
    <xdr:from>
      <xdr:col>13</xdr:col>
      <xdr:colOff>25747</xdr:colOff>
      <xdr:row>5</xdr:row>
      <xdr:rowOff>88699</xdr:rowOff>
    </xdr:from>
    <xdr:to>
      <xdr:col>13</xdr:col>
      <xdr:colOff>630759</xdr:colOff>
      <xdr:row>6</xdr:row>
      <xdr:rowOff>381026</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39897" y="3041449"/>
          <a:ext cx="704347" cy="716296"/>
        </a:xfrm>
        <a:prstGeom prst="rect">
          <a:avLst/>
        </a:prstGeom>
      </xdr:spPr>
    </xdr:pic>
    <xdr:clientData/>
  </xdr:twoCellAnchor>
  <xdr:twoCellAnchor editAs="oneCell">
    <xdr:from>
      <xdr:col>15</xdr:col>
      <xdr:colOff>22560</xdr:colOff>
      <xdr:row>5</xdr:row>
      <xdr:rowOff>88700</xdr:rowOff>
    </xdr:from>
    <xdr:to>
      <xdr:col>15</xdr:col>
      <xdr:colOff>632429</xdr:colOff>
      <xdr:row>6</xdr:row>
      <xdr:rowOff>383167</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2610" y="3041450"/>
          <a:ext cx="729673" cy="712086"/>
        </a:xfrm>
        <a:prstGeom prst="rect">
          <a:avLst/>
        </a:prstGeom>
      </xdr:spPr>
    </xdr:pic>
    <xdr:clientData/>
  </xdr:twoCellAnchor>
  <xdr:twoCellAnchor editAs="oneCell">
    <xdr:from>
      <xdr:col>7</xdr:col>
      <xdr:colOff>17893</xdr:colOff>
      <xdr:row>5</xdr:row>
      <xdr:rowOff>74589</xdr:rowOff>
    </xdr:from>
    <xdr:to>
      <xdr:col>7</xdr:col>
      <xdr:colOff>725070</xdr:colOff>
      <xdr:row>6</xdr:row>
      <xdr:rowOff>381294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33143" y="3071789"/>
          <a:ext cx="707177" cy="712894"/>
        </a:xfrm>
        <a:prstGeom prst="rect">
          <a:avLst/>
        </a:prstGeom>
      </xdr:spPr>
    </xdr:pic>
    <xdr:clientData/>
  </xdr:twoCellAnchor>
  <xdr:twoCellAnchor editAs="oneCell">
    <xdr:from>
      <xdr:col>5</xdr:col>
      <xdr:colOff>11588</xdr:colOff>
      <xdr:row>5</xdr:row>
      <xdr:rowOff>88699</xdr:rowOff>
    </xdr:from>
    <xdr:to>
      <xdr:col>5</xdr:col>
      <xdr:colOff>711791</xdr:colOff>
      <xdr:row>6</xdr:row>
      <xdr:rowOff>401224</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154963" y="1819074"/>
          <a:ext cx="695123" cy="631295"/>
        </a:xfrm>
        <a:prstGeom prst="rect">
          <a:avLst/>
        </a:prstGeom>
      </xdr:spPr>
    </xdr:pic>
    <xdr:clientData/>
  </xdr:twoCellAnchor>
  <xdr:twoCellAnchor editAs="oneCell">
    <xdr:from>
      <xdr:col>14</xdr:col>
      <xdr:colOff>20990</xdr:colOff>
      <xdr:row>5</xdr:row>
      <xdr:rowOff>88700</xdr:rowOff>
    </xdr:from>
    <xdr:to>
      <xdr:col>14</xdr:col>
      <xdr:colOff>726585</xdr:colOff>
      <xdr:row>6</xdr:row>
      <xdr:rowOff>403494</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378090" y="3041450"/>
          <a:ext cx="701785" cy="704473"/>
        </a:xfrm>
        <a:prstGeom prst="rect">
          <a:avLst/>
        </a:prstGeom>
      </xdr:spPr>
    </xdr:pic>
    <xdr:clientData/>
  </xdr:twoCellAnchor>
  <xdr:twoCellAnchor editAs="oneCell">
    <xdr:from>
      <xdr:col>19</xdr:col>
      <xdr:colOff>33601</xdr:colOff>
      <xdr:row>5</xdr:row>
      <xdr:rowOff>88700</xdr:rowOff>
    </xdr:from>
    <xdr:to>
      <xdr:col>19</xdr:col>
      <xdr:colOff>647794</xdr:colOff>
      <xdr:row>6</xdr:row>
      <xdr:rowOff>401293</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362501" y="3041450"/>
          <a:ext cx="725107" cy="713702"/>
        </a:xfrm>
        <a:prstGeom prst="rect">
          <a:avLst/>
        </a:prstGeom>
      </xdr:spPr>
    </xdr:pic>
    <xdr:clientData/>
  </xdr:twoCellAnchor>
  <xdr:twoCellAnchor editAs="oneCell">
    <xdr:from>
      <xdr:col>20</xdr:col>
      <xdr:colOff>35171</xdr:colOff>
      <xdr:row>5</xdr:row>
      <xdr:rowOff>88699</xdr:rowOff>
    </xdr:from>
    <xdr:to>
      <xdr:col>20</xdr:col>
      <xdr:colOff>632307</xdr:colOff>
      <xdr:row>6</xdr:row>
      <xdr:rowOff>381108</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107021" y="3041449"/>
          <a:ext cx="714400" cy="716378"/>
        </a:xfrm>
        <a:prstGeom prst="rect">
          <a:avLst/>
        </a:prstGeom>
      </xdr:spPr>
    </xdr:pic>
    <xdr:clientData/>
  </xdr:twoCellAnchor>
  <xdr:twoCellAnchor editAs="oneCell">
    <xdr:from>
      <xdr:col>21</xdr:col>
      <xdr:colOff>36742</xdr:colOff>
      <xdr:row>5</xdr:row>
      <xdr:rowOff>88700</xdr:rowOff>
    </xdr:from>
    <xdr:to>
      <xdr:col>21</xdr:col>
      <xdr:colOff>632295</xdr:colOff>
      <xdr:row>6</xdr:row>
      <xdr:rowOff>403494</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851542" y="3041450"/>
          <a:ext cx="712815" cy="704473"/>
        </a:xfrm>
        <a:prstGeom prst="rect">
          <a:avLst/>
        </a:prstGeom>
      </xdr:spPr>
    </xdr:pic>
    <xdr:clientData/>
  </xdr:twoCellAnchor>
  <xdr:twoCellAnchor editAs="oneCell">
    <xdr:from>
      <xdr:col>8</xdr:col>
      <xdr:colOff>21046</xdr:colOff>
      <xdr:row>5</xdr:row>
      <xdr:rowOff>74589</xdr:rowOff>
    </xdr:from>
    <xdr:to>
      <xdr:col>8</xdr:col>
      <xdr:colOff>726641</xdr:colOff>
      <xdr:row>6</xdr:row>
      <xdr:rowOff>403692</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479246" y="3071789"/>
          <a:ext cx="705595" cy="716242"/>
        </a:xfrm>
        <a:prstGeom prst="rect">
          <a:avLst/>
        </a:prstGeom>
      </xdr:spPr>
    </xdr:pic>
    <xdr:clientData/>
  </xdr:twoCellAnchor>
  <xdr:twoCellAnchor editAs="oneCell">
    <xdr:from>
      <xdr:col>6</xdr:col>
      <xdr:colOff>11576</xdr:colOff>
      <xdr:row>5</xdr:row>
      <xdr:rowOff>74589</xdr:rowOff>
    </xdr:from>
    <xdr:to>
      <xdr:col>6</xdr:col>
      <xdr:colOff>707947</xdr:colOff>
      <xdr:row>6</xdr:row>
      <xdr:rowOff>381432</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83876" y="3071789"/>
          <a:ext cx="697641" cy="713032"/>
        </a:xfrm>
        <a:prstGeom prst="rect">
          <a:avLst/>
        </a:prstGeom>
      </xdr:spPr>
    </xdr:pic>
    <xdr:clientData/>
  </xdr:twoCellAnchor>
  <xdr:twoCellAnchor editAs="oneCell">
    <xdr:from>
      <xdr:col>9</xdr:col>
      <xdr:colOff>55937</xdr:colOff>
      <xdr:row>5</xdr:row>
      <xdr:rowOff>74589</xdr:rowOff>
    </xdr:from>
    <xdr:to>
      <xdr:col>9</xdr:col>
      <xdr:colOff>672158</xdr:colOff>
      <xdr:row>6</xdr:row>
      <xdr:rowOff>403353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182878" y="1804777"/>
          <a:ext cx="609871" cy="651494"/>
        </a:xfrm>
        <a:prstGeom prst="rect">
          <a:avLst/>
        </a:prstGeom>
      </xdr:spPr>
    </xdr:pic>
    <xdr:clientData/>
  </xdr:twoCellAnchor>
  <xdr:twoCellAnchor editAs="oneCell">
    <xdr:from>
      <xdr:col>10</xdr:col>
      <xdr:colOff>18714</xdr:colOff>
      <xdr:row>5</xdr:row>
      <xdr:rowOff>74589</xdr:rowOff>
    </xdr:from>
    <xdr:to>
      <xdr:col>10</xdr:col>
      <xdr:colOff>635173</xdr:colOff>
      <xdr:row>6</xdr:row>
      <xdr:rowOff>381294</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62814" y="3071789"/>
          <a:ext cx="716662" cy="712894"/>
        </a:xfrm>
        <a:prstGeom prst="rect">
          <a:avLst/>
        </a:prstGeom>
      </xdr:spPr>
    </xdr:pic>
    <xdr:clientData/>
  </xdr:twoCellAnchor>
  <xdr:twoCellAnchor editAs="oneCell">
    <xdr:from>
      <xdr:col>22</xdr:col>
      <xdr:colOff>36731</xdr:colOff>
      <xdr:row>5</xdr:row>
      <xdr:rowOff>88699</xdr:rowOff>
    </xdr:from>
    <xdr:to>
      <xdr:col>22</xdr:col>
      <xdr:colOff>649420</xdr:colOff>
      <xdr:row>6</xdr:row>
      <xdr:rowOff>383177</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594481" y="3041449"/>
          <a:ext cx="718524" cy="707017"/>
        </a:xfrm>
        <a:prstGeom prst="rect">
          <a:avLst/>
        </a:prstGeom>
      </xdr:spPr>
    </xdr:pic>
    <xdr:clientData/>
  </xdr:twoCellAnchor>
  <xdr:twoCellAnchor editAs="oneCell">
    <xdr:from>
      <xdr:col>23</xdr:col>
      <xdr:colOff>39883</xdr:colOff>
      <xdr:row>5</xdr:row>
      <xdr:rowOff>88700</xdr:rowOff>
    </xdr:from>
    <xdr:to>
      <xdr:col>23</xdr:col>
      <xdr:colOff>644948</xdr:colOff>
      <xdr:row>6</xdr:row>
      <xdr:rowOff>381435</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340583" y="3041450"/>
          <a:ext cx="719789" cy="716704"/>
        </a:xfrm>
        <a:prstGeom prst="rect">
          <a:avLst/>
        </a:prstGeom>
      </xdr:spPr>
    </xdr:pic>
    <xdr:clientData/>
  </xdr:twoCellAnchor>
  <xdr:twoCellAnchor editAs="oneCell">
    <xdr:from>
      <xdr:col>12</xdr:col>
      <xdr:colOff>10995</xdr:colOff>
      <xdr:row>37</xdr:row>
      <xdr:rowOff>57734</xdr:rowOff>
    </xdr:from>
    <xdr:to>
      <xdr:col>12</xdr:col>
      <xdr:colOff>708012</xdr:colOff>
      <xdr:row>37</xdr:row>
      <xdr:rowOff>744212</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882195" y="24619534"/>
          <a:ext cx="698287" cy="686478"/>
        </a:xfrm>
        <a:prstGeom prst="rect">
          <a:avLst/>
        </a:prstGeom>
      </xdr:spPr>
    </xdr:pic>
    <xdr:clientData/>
  </xdr:twoCellAnchor>
  <xdr:twoCellAnchor editAs="oneCell">
    <xdr:from>
      <xdr:col>16</xdr:col>
      <xdr:colOff>14114</xdr:colOff>
      <xdr:row>37</xdr:row>
      <xdr:rowOff>57734</xdr:rowOff>
    </xdr:from>
    <xdr:to>
      <xdr:col>16</xdr:col>
      <xdr:colOff>707321</xdr:colOff>
      <xdr:row>37</xdr:row>
      <xdr:rowOff>744212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57114" y="24619534"/>
          <a:ext cx="702097" cy="686478"/>
        </a:xfrm>
        <a:prstGeom prst="rect">
          <a:avLst/>
        </a:prstGeom>
      </xdr:spPr>
    </xdr:pic>
    <xdr:clientData/>
  </xdr:twoCellAnchor>
  <xdr:twoCellAnchor editAs="oneCell">
    <xdr:from>
      <xdr:col>17</xdr:col>
      <xdr:colOff>17267</xdr:colOff>
      <xdr:row>37</xdr:row>
      <xdr:rowOff>57733</xdr:rowOff>
    </xdr:from>
    <xdr:to>
      <xdr:col>17</xdr:col>
      <xdr:colOff>707222</xdr:colOff>
      <xdr:row>37</xdr:row>
      <xdr:rowOff>761450</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4586989" y="24540511"/>
          <a:ext cx="684875" cy="703717"/>
        </a:xfrm>
        <a:prstGeom prst="rect">
          <a:avLst/>
        </a:prstGeom>
      </xdr:spPr>
    </xdr:pic>
    <xdr:clientData/>
  </xdr:twoCellAnchor>
  <xdr:twoCellAnchor editAs="oneCell">
    <xdr:from>
      <xdr:col>13</xdr:col>
      <xdr:colOff>14148</xdr:colOff>
      <xdr:row>37</xdr:row>
      <xdr:rowOff>57733</xdr:rowOff>
    </xdr:from>
    <xdr:to>
      <xdr:col>13</xdr:col>
      <xdr:colOff>686169</xdr:colOff>
      <xdr:row>37</xdr:row>
      <xdr:rowOff>760318</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620537" y="24540511"/>
          <a:ext cx="672021" cy="702585"/>
        </a:xfrm>
        <a:prstGeom prst="rect">
          <a:avLst/>
        </a:prstGeom>
      </xdr:spPr>
    </xdr:pic>
    <xdr:clientData/>
  </xdr:twoCellAnchor>
  <xdr:twoCellAnchor editAs="oneCell">
    <xdr:from>
      <xdr:col>15</xdr:col>
      <xdr:colOff>10962</xdr:colOff>
      <xdr:row>37</xdr:row>
      <xdr:rowOff>57735</xdr:rowOff>
    </xdr:from>
    <xdr:to>
      <xdr:col>15</xdr:col>
      <xdr:colOff>685718</xdr:colOff>
      <xdr:row>37</xdr:row>
      <xdr:rowOff>746398</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041819" y="13211306"/>
          <a:ext cx="674756" cy="686123"/>
        </a:xfrm>
        <a:prstGeom prst="rect">
          <a:avLst/>
        </a:prstGeom>
      </xdr:spPr>
    </xdr:pic>
    <xdr:clientData/>
  </xdr:twoCellAnchor>
  <xdr:twoCellAnchor editAs="oneCell">
    <xdr:from>
      <xdr:col>7</xdr:col>
      <xdr:colOff>6294</xdr:colOff>
      <xdr:row>37</xdr:row>
      <xdr:rowOff>57734</xdr:rowOff>
    </xdr:from>
    <xdr:to>
      <xdr:col>7</xdr:col>
      <xdr:colOff>685959</xdr:colOff>
      <xdr:row>37</xdr:row>
      <xdr:rowOff>759487</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725072" y="24540512"/>
          <a:ext cx="679665" cy="701753"/>
        </a:xfrm>
        <a:prstGeom prst="rect">
          <a:avLst/>
        </a:prstGeom>
      </xdr:spPr>
    </xdr:pic>
    <xdr:clientData/>
  </xdr:twoCellAnchor>
  <xdr:twoCellAnchor editAs="oneCell">
    <xdr:from>
      <xdr:col>5</xdr:col>
      <xdr:colOff>0</xdr:colOff>
      <xdr:row>37</xdr:row>
      <xdr:rowOff>57734</xdr:rowOff>
    </xdr:from>
    <xdr:to>
      <xdr:col>5</xdr:col>
      <xdr:colOff>709323</xdr:colOff>
      <xdr:row>37</xdr:row>
      <xdr:rowOff>749220</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32154" y="24540512"/>
          <a:ext cx="711500" cy="686406"/>
        </a:xfrm>
        <a:prstGeom prst="rect">
          <a:avLst/>
        </a:prstGeom>
      </xdr:spPr>
    </xdr:pic>
    <xdr:clientData/>
  </xdr:twoCellAnchor>
  <xdr:twoCellAnchor editAs="oneCell">
    <xdr:from>
      <xdr:col>14</xdr:col>
      <xdr:colOff>9391</xdr:colOff>
      <xdr:row>37</xdr:row>
      <xdr:rowOff>57734</xdr:rowOff>
    </xdr:from>
    <xdr:to>
      <xdr:col>14</xdr:col>
      <xdr:colOff>711176</xdr:colOff>
      <xdr:row>37</xdr:row>
      <xdr:rowOff>744212</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366491" y="24619534"/>
          <a:ext cx="697975" cy="686478"/>
        </a:xfrm>
        <a:prstGeom prst="rect">
          <a:avLst/>
        </a:prstGeom>
      </xdr:spPr>
    </xdr:pic>
    <xdr:clientData/>
  </xdr:twoCellAnchor>
  <xdr:twoCellAnchor editAs="oneCell">
    <xdr:from>
      <xdr:col>19</xdr:col>
      <xdr:colOff>52245</xdr:colOff>
      <xdr:row>37</xdr:row>
      <xdr:rowOff>57734</xdr:rowOff>
    </xdr:from>
    <xdr:to>
      <xdr:col>19</xdr:col>
      <xdr:colOff>709937</xdr:colOff>
      <xdr:row>37</xdr:row>
      <xdr:rowOff>746619</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5546245" y="24540512"/>
          <a:ext cx="666582" cy="690155"/>
        </a:xfrm>
        <a:prstGeom prst="rect">
          <a:avLst/>
        </a:prstGeom>
      </xdr:spPr>
    </xdr:pic>
    <xdr:clientData/>
  </xdr:twoCellAnchor>
  <xdr:twoCellAnchor editAs="oneCell">
    <xdr:from>
      <xdr:col>20</xdr:col>
      <xdr:colOff>23572</xdr:colOff>
      <xdr:row>37</xdr:row>
      <xdr:rowOff>57733</xdr:rowOff>
    </xdr:from>
    <xdr:to>
      <xdr:col>20</xdr:col>
      <xdr:colOff>707749</xdr:colOff>
      <xdr:row>37</xdr:row>
      <xdr:rowOff>761450</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074961" y="24540511"/>
          <a:ext cx="694337" cy="703717"/>
        </a:xfrm>
        <a:prstGeom prst="rect">
          <a:avLst/>
        </a:prstGeom>
      </xdr:spPr>
    </xdr:pic>
    <xdr:clientData/>
  </xdr:twoCellAnchor>
  <xdr:twoCellAnchor editAs="oneCell">
    <xdr:from>
      <xdr:col>21</xdr:col>
      <xdr:colOff>25143</xdr:colOff>
      <xdr:row>37</xdr:row>
      <xdr:rowOff>57734</xdr:rowOff>
    </xdr:from>
    <xdr:to>
      <xdr:col>21</xdr:col>
      <xdr:colOff>630777</xdr:colOff>
      <xdr:row>37</xdr:row>
      <xdr:rowOff>744212</xdr:rowOff>
    </xdr:to>
    <xdr:pic>
      <xdr:nvPicPr>
        <xdr:cNvPr id="29" name="Picture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6839943" y="24619534"/>
          <a:ext cx="708777" cy="686478"/>
        </a:xfrm>
        <a:prstGeom prst="rect">
          <a:avLst/>
        </a:prstGeom>
      </xdr:spPr>
    </xdr:pic>
    <xdr:clientData/>
  </xdr:twoCellAnchor>
  <xdr:twoCellAnchor editAs="oneCell">
    <xdr:from>
      <xdr:col>8</xdr:col>
      <xdr:colOff>9447</xdr:colOff>
      <xdr:row>37</xdr:row>
      <xdr:rowOff>57734</xdr:rowOff>
    </xdr:from>
    <xdr:to>
      <xdr:col>8</xdr:col>
      <xdr:colOff>682674</xdr:colOff>
      <xdr:row>37</xdr:row>
      <xdr:rowOff>746398</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6395733" y="13211305"/>
          <a:ext cx="673227" cy="686124"/>
        </a:xfrm>
        <a:prstGeom prst="rect">
          <a:avLst/>
        </a:prstGeom>
      </xdr:spPr>
    </xdr:pic>
    <xdr:clientData/>
  </xdr:twoCellAnchor>
  <xdr:twoCellAnchor editAs="oneCell">
    <xdr:from>
      <xdr:col>6</xdr:col>
      <xdr:colOff>67600</xdr:colOff>
      <xdr:row>37</xdr:row>
      <xdr:rowOff>48662</xdr:rowOff>
    </xdr:from>
    <xdr:to>
      <xdr:col>6</xdr:col>
      <xdr:colOff>668928</xdr:colOff>
      <xdr:row>37</xdr:row>
      <xdr:rowOff>749385</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966171" y="13202233"/>
          <a:ext cx="612758" cy="688023"/>
        </a:xfrm>
        <a:prstGeom prst="rect">
          <a:avLst/>
        </a:prstGeom>
      </xdr:spPr>
    </xdr:pic>
    <xdr:clientData/>
  </xdr:twoCellAnchor>
  <xdr:twoCellAnchor editAs="oneCell">
    <xdr:from>
      <xdr:col>9</xdr:col>
      <xdr:colOff>11018</xdr:colOff>
      <xdr:row>37</xdr:row>
      <xdr:rowOff>57734</xdr:rowOff>
    </xdr:from>
    <xdr:to>
      <xdr:col>9</xdr:col>
      <xdr:colOff>709305</xdr:colOff>
      <xdr:row>37</xdr:row>
      <xdr:rowOff>744212</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212168" y="24619534"/>
          <a:ext cx="699557" cy="686478"/>
        </a:xfrm>
        <a:prstGeom prst="rect">
          <a:avLst/>
        </a:prstGeom>
      </xdr:spPr>
    </xdr:pic>
    <xdr:clientData/>
  </xdr:twoCellAnchor>
  <xdr:twoCellAnchor editAs="oneCell">
    <xdr:from>
      <xdr:col>10</xdr:col>
      <xdr:colOff>14170</xdr:colOff>
      <xdr:row>37</xdr:row>
      <xdr:rowOff>57735</xdr:rowOff>
    </xdr:from>
    <xdr:to>
      <xdr:col>10</xdr:col>
      <xdr:colOff>682811</xdr:colOff>
      <xdr:row>37</xdr:row>
      <xdr:rowOff>759487</xdr:rowOff>
    </xdr:to>
    <xdr:pic>
      <xdr:nvPicPr>
        <xdr:cNvPr id="33" name="Pictur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955448" y="24540513"/>
          <a:ext cx="668641" cy="701752"/>
        </a:xfrm>
        <a:prstGeom prst="rect">
          <a:avLst/>
        </a:prstGeom>
      </xdr:spPr>
    </xdr:pic>
    <xdr:clientData/>
  </xdr:twoCellAnchor>
  <xdr:twoCellAnchor editAs="oneCell">
    <xdr:from>
      <xdr:col>22</xdr:col>
      <xdr:colOff>25133</xdr:colOff>
      <xdr:row>37</xdr:row>
      <xdr:rowOff>57733</xdr:rowOff>
    </xdr:from>
    <xdr:to>
      <xdr:col>22</xdr:col>
      <xdr:colOff>634847</xdr:colOff>
      <xdr:row>37</xdr:row>
      <xdr:rowOff>745485</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7741633" y="24540511"/>
          <a:ext cx="708646" cy="689022"/>
        </a:xfrm>
        <a:prstGeom prst="rect">
          <a:avLst/>
        </a:prstGeom>
      </xdr:spPr>
    </xdr:pic>
    <xdr:clientData/>
  </xdr:twoCellAnchor>
  <xdr:twoCellAnchor editAs="oneCell">
    <xdr:from>
      <xdr:col>23</xdr:col>
      <xdr:colOff>35340</xdr:colOff>
      <xdr:row>37</xdr:row>
      <xdr:rowOff>57735</xdr:rowOff>
    </xdr:from>
    <xdr:to>
      <xdr:col>23</xdr:col>
      <xdr:colOff>726723</xdr:colOff>
      <xdr:row>37</xdr:row>
      <xdr:rowOff>748803</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492673" y="24540513"/>
          <a:ext cx="691383" cy="680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FBB%20Assessment%20Toolkit%20-%20May%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b%20Willard/Documents/1G.%20FFBB%20documents/Future%20Fit%20Progress%20Calculator%20-%20Main%20-%20B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FBB Break-Even Goals"/>
      <sheetName val="FFBB Positive Pursuits"/>
      <sheetName val="SDGs Assessment"/>
      <sheetName val="&lt;IR&gt; Caps - Nat'l, Human, Soc'l"/>
      <sheetName val="&lt;IR&gt; Caps - Fin'l, Man'g, Int'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adsheet overview"/>
      <sheetName val="Fitness summary"/>
      <sheetName val="Site information"/>
      <sheetName val="Employee information"/>
      <sheetName val="Product information"/>
      <sheetName val="BE01"/>
      <sheetName val="BE02"/>
      <sheetName val="BE03"/>
      <sheetName val="BE05"/>
      <sheetName val="BE08"/>
      <sheetName val="BE06"/>
      <sheetName val="BE07"/>
      <sheetName val="BE09"/>
      <sheetName val="BE10"/>
      <sheetName val="BE11"/>
      <sheetName val="BE12"/>
      <sheetName val="BE13"/>
      <sheetName val="BE14"/>
      <sheetName val="BE15"/>
      <sheetName val="BE16"/>
      <sheetName val="BE17"/>
      <sheetName val="BE18"/>
      <sheetName val="BE19"/>
      <sheetName val="BE20"/>
      <sheetName val="BE21"/>
      <sheetName val="BE22"/>
    </sheetNames>
    <sheetDataSet>
      <sheetData sheetId="0"/>
      <sheetData sheetId="1"/>
      <sheetData sheetId="2">
        <row r="58">
          <cell r="C58"/>
          <cell r="D58"/>
        </row>
        <row r="59">
          <cell r="C59"/>
          <cell r="D59"/>
        </row>
        <row r="73">
          <cell r="C73"/>
          <cell r="D73"/>
        </row>
        <row r="74">
          <cell r="C74"/>
          <cell r="D74"/>
        </row>
        <row r="95">
          <cell r="C95"/>
        </row>
        <row r="96">
          <cell r="C96"/>
        </row>
        <row r="104">
          <cell r="C104"/>
        </row>
        <row r="105">
          <cell r="C105"/>
        </row>
        <row r="112">
          <cell r="C112"/>
        </row>
        <row r="113">
          <cell r="C113"/>
        </row>
        <row r="120">
          <cell r="C120"/>
        </row>
        <row r="121">
          <cell r="C121"/>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obwillard@sustainabilityadvantage.com" TargetMode="External"/><Relationship Id="rId3" Type="http://schemas.openxmlformats.org/officeDocument/2006/relationships/hyperlink" Target="https://sustainabilityadvantage.com/documents/Comparison%20of%20Sustainability%20Frameworks%20v4.xlsx" TargetMode="External"/><Relationship Id="rId7" Type="http://schemas.openxmlformats.org/officeDocument/2006/relationships/hyperlink" Target="https://futurefitbusiness.org/downloads-resources-future-fit-business/" TargetMode="External"/><Relationship Id="rId2" Type="http://schemas.openxmlformats.org/officeDocument/2006/relationships/hyperlink" Target="http://futurefitbusiness.org/resources/downloads/" TargetMode="External"/><Relationship Id="rId1" Type="http://schemas.openxmlformats.org/officeDocument/2006/relationships/hyperlink" Target="http://futurefitbusiness.org/resources/downloads/" TargetMode="External"/><Relationship Id="rId6" Type="http://schemas.openxmlformats.org/officeDocument/2006/relationships/hyperlink" Target="http://futurefitbusiness.org/resources/downloads/" TargetMode="External"/><Relationship Id="rId11" Type="http://schemas.openxmlformats.org/officeDocument/2006/relationships/image" Target="../media/image1.png"/><Relationship Id="rId5" Type="http://schemas.openxmlformats.org/officeDocument/2006/relationships/hyperlink" Target="http://futurefitbusiness.org/resources/downloads/" TargetMode="External"/><Relationship Id="rId10" Type="http://schemas.openxmlformats.org/officeDocument/2006/relationships/drawing" Target="../drawings/drawing1.xml"/><Relationship Id="rId4" Type="http://schemas.openxmlformats.org/officeDocument/2006/relationships/hyperlink" Target="https://sustainabilityadvantage.com/frameworks/science-based-reporting-tool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lcproducts.com/" TargetMode="External"/><Relationship Id="rId2" Type="http://schemas.openxmlformats.org/officeDocument/2006/relationships/hyperlink" Target="http://www.acme.com/" TargetMode="External"/><Relationship Id="rId1" Type="http://schemas.openxmlformats.org/officeDocument/2006/relationships/hyperlink" Target="https://futurefitbusiness.org/wp-content/uploads/2019/04/FFBB-Implementation-Guide-R2.1.pdf" TargetMode="External"/><Relationship Id="rId5" Type="http://schemas.openxmlformats.org/officeDocument/2006/relationships/image" Target="../media/image1.png"/><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futurefitbusiness.org/goals/be14/" TargetMode="External"/><Relationship Id="rId18" Type="http://schemas.openxmlformats.org/officeDocument/2006/relationships/hyperlink" Target="https://futurefitbusiness.org/goals/be19/" TargetMode="External"/><Relationship Id="rId26" Type="http://schemas.openxmlformats.org/officeDocument/2006/relationships/hyperlink" Target="https://sustainabilityadvantage.com/frameworks/business-model-tools/" TargetMode="External"/><Relationship Id="rId39" Type="http://schemas.openxmlformats.org/officeDocument/2006/relationships/ctrlProp" Target="../ctrlProps/ctrlProp7.xml"/><Relationship Id="rId21" Type="http://schemas.openxmlformats.org/officeDocument/2006/relationships/hyperlink" Target="https://futurefitbusiness.org/goals/be22/" TargetMode="External"/><Relationship Id="rId34" Type="http://schemas.openxmlformats.org/officeDocument/2006/relationships/ctrlProp" Target="../ctrlProps/ctrlProp2.xml"/><Relationship Id="rId42" Type="http://schemas.openxmlformats.org/officeDocument/2006/relationships/ctrlProp" Target="../ctrlProps/ctrlProp10.xml"/><Relationship Id="rId47" Type="http://schemas.openxmlformats.org/officeDocument/2006/relationships/ctrlProp" Target="../ctrlProps/ctrlProp15.xml"/><Relationship Id="rId50" Type="http://schemas.openxmlformats.org/officeDocument/2006/relationships/ctrlProp" Target="../ctrlProps/ctrlProp18.xml"/><Relationship Id="rId55" Type="http://schemas.openxmlformats.org/officeDocument/2006/relationships/ctrlProp" Target="../ctrlProps/ctrlProp23.xml"/><Relationship Id="rId63" Type="http://schemas.openxmlformats.org/officeDocument/2006/relationships/ctrlProp" Target="../ctrlProps/ctrlProp31.xml"/><Relationship Id="rId68" Type="http://schemas.openxmlformats.org/officeDocument/2006/relationships/ctrlProp" Target="../ctrlProps/ctrlProp36.xml"/><Relationship Id="rId7" Type="http://schemas.openxmlformats.org/officeDocument/2006/relationships/hyperlink" Target="https://futurefitbusiness.org/goals/be06/" TargetMode="External"/><Relationship Id="rId2" Type="http://schemas.openxmlformats.org/officeDocument/2006/relationships/hyperlink" Target="https://futurefitbusiness.org/goals/be02/" TargetMode="External"/><Relationship Id="rId16" Type="http://schemas.openxmlformats.org/officeDocument/2006/relationships/hyperlink" Target="https://futurefitbusiness.org/goals/be17/" TargetMode="External"/><Relationship Id="rId29" Type="http://schemas.openxmlformats.org/officeDocument/2006/relationships/printerSettings" Target="../printerSettings/printerSettings3.bin"/><Relationship Id="rId1" Type="http://schemas.openxmlformats.org/officeDocument/2006/relationships/hyperlink" Target="https://futurefitbusiness.org/goals/be01/" TargetMode="External"/><Relationship Id="rId6" Type="http://schemas.openxmlformats.org/officeDocument/2006/relationships/hyperlink" Target="https://futurefitbusiness.org/goals/be07/" TargetMode="External"/><Relationship Id="rId11" Type="http://schemas.openxmlformats.org/officeDocument/2006/relationships/hyperlink" Target="https://futurefitbusiness.org/goals/be12/" TargetMode="External"/><Relationship Id="rId24" Type="http://schemas.openxmlformats.org/officeDocument/2006/relationships/hyperlink" Target="https://futurefitbusiness.org/goals/be08/" TargetMode="External"/><Relationship Id="rId32" Type="http://schemas.openxmlformats.org/officeDocument/2006/relationships/image" Target="../media/image1.png"/><Relationship Id="rId37" Type="http://schemas.openxmlformats.org/officeDocument/2006/relationships/ctrlProp" Target="../ctrlProps/ctrlProp5.xml"/><Relationship Id="rId40" Type="http://schemas.openxmlformats.org/officeDocument/2006/relationships/ctrlProp" Target="../ctrlProps/ctrlProp8.xml"/><Relationship Id="rId45" Type="http://schemas.openxmlformats.org/officeDocument/2006/relationships/ctrlProp" Target="../ctrlProps/ctrlProp13.xml"/><Relationship Id="rId53" Type="http://schemas.openxmlformats.org/officeDocument/2006/relationships/ctrlProp" Target="../ctrlProps/ctrlProp21.xml"/><Relationship Id="rId58" Type="http://schemas.openxmlformats.org/officeDocument/2006/relationships/ctrlProp" Target="../ctrlProps/ctrlProp26.xml"/><Relationship Id="rId66" Type="http://schemas.openxmlformats.org/officeDocument/2006/relationships/ctrlProp" Target="../ctrlProps/ctrlProp34.xml"/><Relationship Id="rId5" Type="http://schemas.openxmlformats.org/officeDocument/2006/relationships/hyperlink" Target="https://futurefitbusiness.org/goals/be05/" TargetMode="External"/><Relationship Id="rId15" Type="http://schemas.openxmlformats.org/officeDocument/2006/relationships/hyperlink" Target="https://futurefitbusiness.org/goals/be16/" TargetMode="External"/><Relationship Id="rId23" Type="http://schemas.openxmlformats.org/officeDocument/2006/relationships/hyperlink" Target="http://futurefitbusiness.org/resources/downloads/" TargetMode="External"/><Relationship Id="rId28" Type="http://schemas.openxmlformats.org/officeDocument/2006/relationships/hyperlink" Target="http://futurefitbusiness.org/resources/downloads/" TargetMode="External"/><Relationship Id="rId36" Type="http://schemas.openxmlformats.org/officeDocument/2006/relationships/ctrlProp" Target="../ctrlProps/ctrlProp4.xml"/><Relationship Id="rId49" Type="http://schemas.openxmlformats.org/officeDocument/2006/relationships/ctrlProp" Target="../ctrlProps/ctrlProp17.xml"/><Relationship Id="rId57" Type="http://schemas.openxmlformats.org/officeDocument/2006/relationships/ctrlProp" Target="../ctrlProps/ctrlProp25.xml"/><Relationship Id="rId61" Type="http://schemas.openxmlformats.org/officeDocument/2006/relationships/ctrlProp" Target="../ctrlProps/ctrlProp29.xml"/><Relationship Id="rId10" Type="http://schemas.openxmlformats.org/officeDocument/2006/relationships/hyperlink" Target="https://futurefitbusiness.org/goals/be11/" TargetMode="External"/><Relationship Id="rId19" Type="http://schemas.openxmlformats.org/officeDocument/2006/relationships/hyperlink" Target="https://futurefitbusiness.org/goals/be20/" TargetMode="External"/><Relationship Id="rId31" Type="http://schemas.openxmlformats.org/officeDocument/2006/relationships/vmlDrawing" Target="../drawings/vmlDrawing1.vml"/><Relationship Id="rId44" Type="http://schemas.openxmlformats.org/officeDocument/2006/relationships/ctrlProp" Target="../ctrlProps/ctrlProp12.xml"/><Relationship Id="rId52" Type="http://schemas.openxmlformats.org/officeDocument/2006/relationships/ctrlProp" Target="../ctrlProps/ctrlProp20.xml"/><Relationship Id="rId60" Type="http://schemas.openxmlformats.org/officeDocument/2006/relationships/ctrlProp" Target="../ctrlProps/ctrlProp28.xml"/><Relationship Id="rId65" Type="http://schemas.openxmlformats.org/officeDocument/2006/relationships/ctrlProp" Target="../ctrlProps/ctrlProp33.xml"/><Relationship Id="rId4" Type="http://schemas.openxmlformats.org/officeDocument/2006/relationships/hyperlink" Target="https://futurefitbusiness.org/goals/be04/" TargetMode="External"/><Relationship Id="rId9" Type="http://schemas.openxmlformats.org/officeDocument/2006/relationships/hyperlink" Target="https://futurefitbusiness.org/goals/be10/" TargetMode="External"/><Relationship Id="rId14" Type="http://schemas.openxmlformats.org/officeDocument/2006/relationships/hyperlink" Target="https://futurefitbusiness.org/goals/be15/" TargetMode="External"/><Relationship Id="rId22" Type="http://schemas.openxmlformats.org/officeDocument/2006/relationships/hyperlink" Target="https://futurefitbusiness.org/goals/be23/" TargetMode="External"/><Relationship Id="rId27" Type="http://schemas.openxmlformats.org/officeDocument/2006/relationships/hyperlink" Target="https://sustainabilityadvantage.com/frameworks/business-model-tools/" TargetMode="External"/><Relationship Id="rId30" Type="http://schemas.openxmlformats.org/officeDocument/2006/relationships/drawing" Target="../drawings/drawing2.xml"/><Relationship Id="rId35" Type="http://schemas.openxmlformats.org/officeDocument/2006/relationships/ctrlProp" Target="../ctrlProps/ctrlProp3.xml"/><Relationship Id="rId43" Type="http://schemas.openxmlformats.org/officeDocument/2006/relationships/ctrlProp" Target="../ctrlProps/ctrlProp11.xml"/><Relationship Id="rId48" Type="http://schemas.openxmlformats.org/officeDocument/2006/relationships/ctrlProp" Target="../ctrlProps/ctrlProp16.xml"/><Relationship Id="rId56" Type="http://schemas.openxmlformats.org/officeDocument/2006/relationships/ctrlProp" Target="../ctrlProps/ctrlProp24.xml"/><Relationship Id="rId64" Type="http://schemas.openxmlformats.org/officeDocument/2006/relationships/ctrlProp" Target="../ctrlProps/ctrlProp32.xml"/><Relationship Id="rId8" Type="http://schemas.openxmlformats.org/officeDocument/2006/relationships/hyperlink" Target="https://futurefitbusiness.org/goals/be09/" TargetMode="External"/><Relationship Id="rId51" Type="http://schemas.openxmlformats.org/officeDocument/2006/relationships/ctrlProp" Target="../ctrlProps/ctrlProp19.xml"/><Relationship Id="rId3" Type="http://schemas.openxmlformats.org/officeDocument/2006/relationships/hyperlink" Target="https://futurefitbusiness.org/goals/be03/" TargetMode="External"/><Relationship Id="rId12" Type="http://schemas.openxmlformats.org/officeDocument/2006/relationships/hyperlink" Target="https://futurefitbusiness.org/goals/be13/" TargetMode="External"/><Relationship Id="rId17" Type="http://schemas.openxmlformats.org/officeDocument/2006/relationships/hyperlink" Target="https://futurefitbusiness.org/goals/be18/" TargetMode="External"/><Relationship Id="rId25" Type="http://schemas.openxmlformats.org/officeDocument/2006/relationships/hyperlink" Target="https://futurefitbusiness.org/goals/be19/" TargetMode="External"/><Relationship Id="rId33" Type="http://schemas.openxmlformats.org/officeDocument/2006/relationships/ctrlProp" Target="../ctrlProps/ctrlProp1.xml"/><Relationship Id="rId38" Type="http://schemas.openxmlformats.org/officeDocument/2006/relationships/ctrlProp" Target="../ctrlProps/ctrlProp6.xml"/><Relationship Id="rId46" Type="http://schemas.openxmlformats.org/officeDocument/2006/relationships/ctrlProp" Target="../ctrlProps/ctrlProp14.xml"/><Relationship Id="rId59" Type="http://schemas.openxmlformats.org/officeDocument/2006/relationships/ctrlProp" Target="../ctrlProps/ctrlProp27.xml"/><Relationship Id="rId67" Type="http://schemas.openxmlformats.org/officeDocument/2006/relationships/ctrlProp" Target="../ctrlProps/ctrlProp35.xml"/><Relationship Id="rId20" Type="http://schemas.openxmlformats.org/officeDocument/2006/relationships/hyperlink" Target="https://futurefitbusiness.org/goals/be21/" TargetMode="External"/><Relationship Id="rId41" Type="http://schemas.openxmlformats.org/officeDocument/2006/relationships/ctrlProp" Target="../ctrlProps/ctrlProp9.xml"/><Relationship Id="rId54" Type="http://schemas.openxmlformats.org/officeDocument/2006/relationships/ctrlProp" Target="../ctrlProps/ctrlProp22.xml"/><Relationship Id="rId6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futurefitbusiness.org/wp-content/uploads/2019/04/FFBB-Positive-Pursuit-Guide-R2.1.pdf" TargetMode="External"/><Relationship Id="rId4" Type="http://schemas.openxmlformats.org/officeDocument/2006/relationships/image" Target="../media/image1.png"/></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stainabilityadvantage.com/frameworks/business-model-tools/" TargetMode="External"/><Relationship Id="rId1" Type="http://schemas.openxmlformats.org/officeDocument/2006/relationships/hyperlink" Target="https://materiality.sasb.org/" TargetMode="External"/><Relationship Id="rId5" Type="http://schemas.openxmlformats.org/officeDocument/2006/relationships/image" Target="../media/image1.png"/><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s://sustainabilityadvantage.com/frameworks/business-model-tools/" TargetMode="External"/><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76BE-6474-4593-9E74-3FD9490A4C5D}">
  <sheetPr>
    <tabColor theme="0"/>
    <pageSetUpPr fitToPage="1"/>
  </sheetPr>
  <dimension ref="A1:O83"/>
  <sheetViews>
    <sheetView showGridLines="0" tabSelected="1" zoomScaleNormal="100" workbookViewId="0">
      <selection activeCell="B2" sqref="B2:E2"/>
    </sheetView>
  </sheetViews>
  <sheetFormatPr defaultColWidth="8.77734375" defaultRowHeight="15" x14ac:dyDescent="0.35"/>
  <cols>
    <col min="1" max="1" width="2.6640625" style="3" customWidth="1"/>
    <col min="2" max="2" width="14.6640625" style="3" customWidth="1"/>
    <col min="3" max="3" width="62.109375" style="3" customWidth="1"/>
    <col min="4" max="4" width="77.5546875" style="3" customWidth="1"/>
    <col min="5" max="5" width="11.5546875" style="3" customWidth="1"/>
    <col min="6" max="6" width="9.109375" style="3" hidden="1" customWidth="1"/>
    <col min="7" max="7" width="15" style="3" hidden="1" customWidth="1"/>
    <col min="8" max="8" width="9.109375" style="3" customWidth="1"/>
    <col min="9" max="9" width="15" style="3" customWidth="1"/>
    <col min="10" max="10" width="9.109375" style="3" customWidth="1"/>
    <col min="11" max="11" width="15.77734375" style="3" customWidth="1"/>
    <col min="12" max="12" width="5.5546875" style="3" customWidth="1"/>
    <col min="13" max="20" width="15" style="3" customWidth="1"/>
    <col min="21" max="16384" width="8.77734375" style="3"/>
  </cols>
  <sheetData>
    <row r="1" spans="1:15" ht="10.050000000000001" customHeight="1" x14ac:dyDescent="0.35"/>
    <row r="2" spans="1:15" s="2" customFormat="1" ht="45" customHeight="1" x14ac:dyDescent="0.35">
      <c r="B2" s="526" t="s">
        <v>839</v>
      </c>
      <c r="C2" s="526"/>
      <c r="D2" s="526"/>
      <c r="E2" s="526"/>
      <c r="H2"/>
      <c r="I2"/>
    </row>
    <row r="3" spans="1:15" s="7" customFormat="1" ht="104.55" customHeight="1" x14ac:dyDescent="0.35">
      <c r="A3" s="90"/>
      <c r="C3" s="527" t="s">
        <v>814</v>
      </c>
      <c r="D3" s="527"/>
      <c r="E3" s="527"/>
      <c r="F3" s="91"/>
      <c r="G3" s="91"/>
      <c r="H3" s="2"/>
      <c r="I3" s="2"/>
      <c r="J3" s="2"/>
      <c r="K3" s="2"/>
      <c r="L3" s="2"/>
      <c r="M3" s="2"/>
      <c r="N3" s="92"/>
      <c r="O3" s="92"/>
    </row>
    <row r="4" spans="1:15" s="7" customFormat="1" ht="53.55" customHeight="1" x14ac:dyDescent="0.35">
      <c r="A4" s="90"/>
      <c r="B4" s="528" t="s">
        <v>822</v>
      </c>
      <c r="C4" s="527"/>
      <c r="D4" s="527"/>
      <c r="E4" s="527"/>
      <c r="F4" s="91"/>
      <c r="G4" s="91"/>
      <c r="H4" s="2"/>
      <c r="I4" s="2"/>
      <c r="J4" s="2"/>
      <c r="K4" s="2"/>
      <c r="L4" s="2"/>
      <c r="M4" s="2"/>
      <c r="N4" s="92"/>
      <c r="O4" s="92"/>
    </row>
    <row r="5" spans="1:15" s="7" customFormat="1" ht="18.45" customHeight="1" x14ac:dyDescent="0.35">
      <c r="A5" s="90"/>
      <c r="B5" s="524" t="s">
        <v>813</v>
      </c>
      <c r="C5" s="525"/>
      <c r="D5" s="525"/>
      <c r="E5" s="525"/>
      <c r="F5" s="504"/>
      <c r="G5" s="504"/>
      <c r="H5" s="2"/>
      <c r="I5" s="2"/>
      <c r="J5" s="2"/>
      <c r="K5" s="2"/>
      <c r="L5" s="2"/>
      <c r="M5" s="2"/>
      <c r="N5" s="92"/>
      <c r="O5" s="92"/>
    </row>
    <row r="6" spans="1:15" ht="4.95" customHeight="1" x14ac:dyDescent="0.35">
      <c r="B6" s="2"/>
      <c r="C6" s="2"/>
      <c r="D6" s="2"/>
    </row>
    <row r="7" spans="1:15" s="7" customFormat="1" ht="58.05" customHeight="1" x14ac:dyDescent="0.35">
      <c r="A7" s="90"/>
      <c r="B7" s="527" t="s">
        <v>819</v>
      </c>
      <c r="C7" s="527"/>
      <c r="D7" s="527"/>
      <c r="E7" s="527"/>
      <c r="F7" s="91"/>
      <c r="G7" s="91"/>
      <c r="H7" s="2"/>
      <c r="I7" s="2"/>
      <c r="J7" s="2"/>
      <c r="K7" s="2"/>
      <c r="L7" s="2"/>
      <c r="M7" s="2"/>
      <c r="N7" s="92"/>
      <c r="O7" s="92"/>
    </row>
    <row r="23" spans="1:15" ht="38.549999999999997" customHeight="1" x14ac:dyDescent="0.35"/>
    <row r="28" spans="1:15" ht="31.8" customHeight="1" x14ac:dyDescent="0.35">
      <c r="B28" s="523" t="s">
        <v>835</v>
      </c>
      <c r="C28" s="523"/>
      <c r="D28" s="523"/>
      <c r="E28" s="523"/>
      <c r="F28" s="523"/>
      <c r="G28" s="523"/>
    </row>
    <row r="29" spans="1:15" s="7" customFormat="1" ht="18.45" customHeight="1" x14ac:dyDescent="0.35">
      <c r="A29" s="90"/>
      <c r="B29" s="524" t="s">
        <v>836</v>
      </c>
      <c r="C29" s="525"/>
      <c r="D29" s="525"/>
      <c r="E29" s="525"/>
      <c r="F29" s="504"/>
      <c r="G29" s="504"/>
      <c r="H29" s="2"/>
      <c r="I29" s="2"/>
      <c r="J29" s="2"/>
      <c r="K29" s="2"/>
      <c r="L29" s="2"/>
      <c r="M29" s="2"/>
      <c r="N29" s="92"/>
      <c r="O29" s="92"/>
    </row>
    <row r="30" spans="1:15" ht="39" customHeight="1" x14ac:dyDescent="0.35">
      <c r="B30" s="523" t="s">
        <v>834</v>
      </c>
      <c r="C30" s="523"/>
      <c r="D30" s="523"/>
      <c r="E30" s="523"/>
      <c r="F30" s="523"/>
      <c r="G30" s="523"/>
    </row>
    <row r="31" spans="1:15" ht="64.05" customHeight="1" x14ac:dyDescent="0.35">
      <c r="B31" s="520" t="s">
        <v>821</v>
      </c>
      <c r="C31" s="520"/>
      <c r="D31" s="520"/>
      <c r="E31" s="520"/>
      <c r="F31" s="520"/>
      <c r="G31" s="520"/>
    </row>
    <row r="32" spans="1:15" ht="53.55" customHeight="1" x14ac:dyDescent="0.35">
      <c r="B32" s="520" t="s">
        <v>811</v>
      </c>
      <c r="C32" s="520"/>
      <c r="D32" s="520"/>
      <c r="E32" s="520"/>
      <c r="F32" s="520"/>
      <c r="G32" s="520"/>
    </row>
    <row r="33" spans="2:15" ht="52.5" customHeight="1" x14ac:dyDescent="0.35">
      <c r="B33" s="520" t="s">
        <v>815</v>
      </c>
      <c r="C33" s="520"/>
      <c r="D33" s="520"/>
      <c r="E33" s="520"/>
      <c r="F33" s="520"/>
      <c r="G33" s="520"/>
    </row>
    <row r="34" spans="2:15" ht="70.5" customHeight="1" x14ac:dyDescent="0.35">
      <c r="B34" s="520" t="s">
        <v>688</v>
      </c>
      <c r="C34" s="520"/>
      <c r="D34" s="520"/>
      <c r="E34" s="520"/>
      <c r="F34" s="520"/>
      <c r="G34" s="520"/>
    </row>
    <row r="35" spans="2:15" ht="25.95" customHeight="1" x14ac:dyDescent="0.35">
      <c r="B35" s="520" t="s">
        <v>816</v>
      </c>
      <c r="C35" s="520"/>
      <c r="D35" s="520"/>
      <c r="E35" s="520"/>
      <c r="F35" s="520"/>
      <c r="G35" s="520"/>
    </row>
    <row r="36" spans="2:15" ht="40.049999999999997" customHeight="1" x14ac:dyDescent="0.35">
      <c r="B36" s="520" t="s">
        <v>818</v>
      </c>
      <c r="C36" s="520"/>
      <c r="D36" s="520"/>
      <c r="E36" s="520"/>
      <c r="F36" s="520"/>
      <c r="G36" s="520"/>
    </row>
    <row r="37" spans="2:15" ht="40.049999999999997" customHeight="1" x14ac:dyDescent="0.35">
      <c r="B37" s="520" t="s">
        <v>812</v>
      </c>
      <c r="C37" s="520"/>
      <c r="D37" s="520"/>
      <c r="E37" s="520"/>
      <c r="F37" s="520"/>
      <c r="G37" s="520"/>
    </row>
    <row r="38" spans="2:15" ht="4.95" customHeight="1" x14ac:dyDescent="0.35">
      <c r="B38" s="2"/>
      <c r="C38" s="2"/>
      <c r="D38" s="2"/>
    </row>
    <row r="39" spans="2:15" s="7" customFormat="1" ht="82.5" customHeight="1" x14ac:dyDescent="0.35">
      <c r="B39" s="548" t="s">
        <v>831</v>
      </c>
      <c r="C39" s="548"/>
      <c r="D39" s="548"/>
      <c r="E39" s="548"/>
      <c r="F39" s="91"/>
      <c r="G39" s="91"/>
      <c r="H39" s="2"/>
      <c r="I39" s="2"/>
      <c r="J39" s="2"/>
      <c r="K39" s="2"/>
      <c r="L39" s="2"/>
      <c r="M39" s="2"/>
      <c r="N39" s="92"/>
      <c r="O39" s="92"/>
    </row>
    <row r="40" spans="2:15" s="511" customFormat="1" ht="23.55" customHeight="1" x14ac:dyDescent="0.25">
      <c r="B40" s="521" t="s">
        <v>832</v>
      </c>
      <c r="C40" s="522"/>
      <c r="D40" s="522"/>
      <c r="E40" s="522"/>
    </row>
    <row r="41" spans="2:15" ht="104.55" customHeight="1" x14ac:dyDescent="0.35">
      <c r="B41" s="546" t="s">
        <v>833</v>
      </c>
      <c r="C41" s="546"/>
      <c r="D41" s="546"/>
      <c r="E41" s="546"/>
      <c r="H41" s="443"/>
      <c r="I41" s="442"/>
    </row>
    <row r="42" spans="2:15" ht="91.95" customHeight="1" x14ac:dyDescent="0.35">
      <c r="B42" s="547"/>
      <c r="C42" s="547"/>
      <c r="D42" s="547"/>
      <c r="E42" s="547"/>
      <c r="H42" s="443"/>
      <c r="I42" s="442"/>
    </row>
    <row r="43" spans="2:15" ht="10.050000000000001" customHeight="1" x14ac:dyDescent="0.35">
      <c r="B43" s="2"/>
      <c r="C43" s="2"/>
      <c r="D43" s="2"/>
      <c r="H43"/>
      <c r="I43"/>
    </row>
    <row r="44" spans="2:15" ht="126" customHeight="1" x14ac:dyDescent="0.35">
      <c r="B44" s="539" t="s">
        <v>825</v>
      </c>
      <c r="C44" s="539"/>
      <c r="E44" s="2"/>
    </row>
    <row r="45" spans="2:15" ht="90.45" customHeight="1" x14ac:dyDescent="0.35">
      <c r="B45" s="539"/>
      <c r="C45" s="539"/>
      <c r="E45" s="2"/>
    </row>
    <row r="46" spans="2:15" ht="91.05" customHeight="1" x14ac:dyDescent="0.35">
      <c r="B46" s="539"/>
      <c r="C46" s="539"/>
      <c r="E46" s="2"/>
    </row>
    <row r="47" spans="2:15" ht="10.050000000000001" customHeight="1" x14ac:dyDescent="0.35">
      <c r="E47" s="2"/>
    </row>
    <row r="48" spans="2:15" ht="136.05000000000001" customHeight="1" x14ac:dyDescent="0.35">
      <c r="B48" s="539" t="s">
        <v>826</v>
      </c>
      <c r="C48" s="539"/>
      <c r="E48" s="2"/>
    </row>
    <row r="49" spans="2:8" ht="64.5" customHeight="1" x14ac:dyDescent="0.35">
      <c r="B49" s="539"/>
      <c r="C49" s="539"/>
      <c r="E49" s="2"/>
    </row>
    <row r="50" spans="2:8" ht="130.05000000000001" customHeight="1" x14ac:dyDescent="0.35">
      <c r="B50" s="539"/>
      <c r="C50" s="539"/>
      <c r="E50" s="2"/>
    </row>
    <row r="51" spans="2:8" ht="10.050000000000001" customHeight="1" x14ac:dyDescent="0.35">
      <c r="B51" s="58"/>
      <c r="C51" s="58" t="s">
        <v>820</v>
      </c>
      <c r="E51" s="2"/>
    </row>
    <row r="52" spans="2:8" ht="129" customHeight="1" x14ac:dyDescent="0.35">
      <c r="B52" s="539" t="s">
        <v>827</v>
      </c>
      <c r="C52" s="539"/>
      <c r="E52" s="2"/>
    </row>
    <row r="53" spans="2:8" ht="91.5" customHeight="1" x14ac:dyDescent="0.35">
      <c r="B53" s="539"/>
      <c r="C53" s="539"/>
      <c r="E53" s="2"/>
    </row>
    <row r="54" spans="2:8" ht="116.55" customHeight="1" x14ac:dyDescent="0.35">
      <c r="B54" s="539"/>
      <c r="C54" s="539"/>
      <c r="E54" s="2"/>
    </row>
    <row r="55" spans="2:8" s="2" customFormat="1" ht="10.050000000000001" customHeight="1" x14ac:dyDescent="0.35"/>
    <row r="56" spans="2:8" s="4" customFormat="1" ht="19.95" customHeight="1" x14ac:dyDescent="0.35">
      <c r="B56" s="540" t="s">
        <v>40</v>
      </c>
      <c r="C56" s="540"/>
      <c r="D56" s="540"/>
      <c r="E56" s="540"/>
      <c r="F56" s="540"/>
      <c r="G56" s="540"/>
    </row>
    <row r="57" spans="2:8" s="2" customFormat="1" ht="16.05" customHeight="1" x14ac:dyDescent="0.35">
      <c r="B57" s="530" t="s">
        <v>23</v>
      </c>
      <c r="C57" s="531"/>
      <c r="D57" s="531"/>
      <c r="E57" s="532"/>
      <c r="F57" s="76"/>
      <c r="G57" s="75"/>
    </row>
    <row r="58" spans="2:8" s="2" customFormat="1" ht="16.05" customHeight="1" x14ac:dyDescent="0.35">
      <c r="B58" s="533" t="s">
        <v>32</v>
      </c>
      <c r="C58" s="534"/>
      <c r="D58" s="534"/>
      <c r="E58" s="535"/>
      <c r="F58" s="77"/>
      <c r="G58" s="75"/>
    </row>
    <row r="59" spans="2:8" s="2" customFormat="1" ht="16.05" customHeight="1" x14ac:dyDescent="0.35">
      <c r="B59" s="536" t="s">
        <v>41</v>
      </c>
      <c r="C59" s="537"/>
      <c r="D59" s="537"/>
      <c r="E59" s="538"/>
      <c r="F59" s="78"/>
      <c r="G59" s="75"/>
    </row>
    <row r="60" spans="2:8" ht="10.050000000000001" customHeight="1" x14ac:dyDescent="0.35">
      <c r="B60" s="2"/>
      <c r="C60" s="2"/>
      <c r="D60" s="2"/>
    </row>
    <row r="61" spans="2:8" s="4" customFormat="1" ht="19.95" customHeight="1" x14ac:dyDescent="0.35">
      <c r="B61" s="540" t="s">
        <v>828</v>
      </c>
      <c r="C61" s="540"/>
      <c r="D61" s="540"/>
      <c r="E61" s="540"/>
      <c r="F61" s="540"/>
      <c r="G61" s="540"/>
    </row>
    <row r="62" spans="2:8" ht="60" customHeight="1" x14ac:dyDescent="0.35">
      <c r="B62" s="510">
        <v>1</v>
      </c>
      <c r="C62" s="549" t="s">
        <v>823</v>
      </c>
      <c r="D62" s="549"/>
      <c r="E62" s="549"/>
      <c r="F62" s="508"/>
      <c r="G62" s="508"/>
      <c r="H62" s="509"/>
    </row>
    <row r="63" spans="2:8" ht="17.55" customHeight="1" x14ac:dyDescent="0.35">
      <c r="B63" s="510">
        <v>2</v>
      </c>
      <c r="C63" s="550" t="s">
        <v>824</v>
      </c>
      <c r="D63" s="550"/>
      <c r="E63" s="550"/>
      <c r="F63" s="508"/>
      <c r="G63" s="508"/>
      <c r="H63" s="509"/>
    </row>
    <row r="64" spans="2:8" s="2" customFormat="1" ht="19.95" customHeight="1" x14ac:dyDescent="0.35"/>
    <row r="65" spans="2:15" s="517" customFormat="1" ht="168" customHeight="1" x14ac:dyDescent="0.3">
      <c r="B65" s="541" t="s">
        <v>837</v>
      </c>
      <c r="C65" s="542"/>
      <c r="D65" s="543"/>
      <c r="E65" s="518"/>
      <c r="F65" s="519"/>
      <c r="G65" s="519"/>
      <c r="H65" s="519"/>
    </row>
    <row r="66" spans="2:15" s="516" customFormat="1" ht="16.8" customHeight="1" x14ac:dyDescent="0.3">
      <c r="B66" s="544" t="s">
        <v>838</v>
      </c>
      <c r="C66" s="545"/>
      <c r="D66" s="545"/>
    </row>
    <row r="67" spans="2:15" s="516" customFormat="1" ht="13.5" customHeight="1" x14ac:dyDescent="0.3"/>
    <row r="68" spans="2:15" s="516" customFormat="1" ht="34.200000000000003" customHeight="1" x14ac:dyDescent="0.3"/>
    <row r="69" spans="2:15" s="512" customFormat="1" ht="109.8" customHeight="1" x14ac:dyDescent="0.35">
      <c r="B69" s="2"/>
      <c r="C69" s="2"/>
      <c r="D69" s="2"/>
      <c r="E69" s="513"/>
      <c r="F69" s="514"/>
      <c r="G69" s="514"/>
      <c r="H69" s="61"/>
      <c r="I69" s="61"/>
      <c r="J69" s="61"/>
      <c r="K69" s="61"/>
      <c r="L69" s="61"/>
      <c r="M69" s="61"/>
      <c r="N69" s="515"/>
      <c r="O69" s="515"/>
    </row>
    <row r="70" spans="2:15" s="2" customFormat="1" ht="34.5" customHeight="1" x14ac:dyDescent="0.35"/>
    <row r="71" spans="2:15" s="2" customFormat="1" ht="49.95" customHeight="1" x14ac:dyDescent="0.35"/>
    <row r="72" spans="2:15" s="2" customFormat="1" ht="49.95" customHeight="1" x14ac:dyDescent="0.35"/>
    <row r="73" spans="2:15" s="2" customFormat="1" ht="49.95" customHeight="1" x14ac:dyDescent="0.35"/>
    <row r="74" spans="2:15" s="2" customFormat="1" ht="49.95" customHeight="1" x14ac:dyDescent="0.35"/>
    <row r="75" spans="2:15" s="2" customFormat="1" ht="42" customHeight="1" x14ac:dyDescent="0.35"/>
    <row r="76" spans="2:15" s="2" customFormat="1" ht="60" customHeight="1" x14ac:dyDescent="0.35"/>
    <row r="77" spans="2:15" s="15" customFormat="1" ht="25.05" customHeight="1" x14ac:dyDescent="0.35">
      <c r="B77" s="2"/>
      <c r="C77" s="2"/>
      <c r="D77" s="2"/>
      <c r="E77" s="2"/>
    </row>
    <row r="78" spans="2:15" x14ac:dyDescent="0.35">
      <c r="B78" s="2"/>
      <c r="C78" s="2"/>
      <c r="D78" s="2"/>
      <c r="E78" s="2"/>
    </row>
    <row r="79" spans="2:15" x14ac:dyDescent="0.35">
      <c r="B79" s="2"/>
      <c r="C79" s="2"/>
      <c r="D79" s="2"/>
      <c r="E79" s="2"/>
    </row>
    <row r="83" spans="1:3" ht="17.399999999999999" x14ac:dyDescent="0.35">
      <c r="A83" s="16"/>
      <c r="B83" s="529"/>
      <c r="C83" s="529"/>
    </row>
  </sheetData>
  <mergeCells count="31">
    <mergeCell ref="B41:E42"/>
    <mergeCell ref="B36:G36"/>
    <mergeCell ref="B39:E39"/>
    <mergeCell ref="C62:E62"/>
    <mergeCell ref="C63:E63"/>
    <mergeCell ref="B83:C83"/>
    <mergeCell ref="B57:E57"/>
    <mergeCell ref="B58:E58"/>
    <mergeCell ref="B59:E59"/>
    <mergeCell ref="B44:C46"/>
    <mergeCell ref="B56:G56"/>
    <mergeCell ref="B48:C50"/>
    <mergeCell ref="B52:C54"/>
    <mergeCell ref="B61:G61"/>
    <mergeCell ref="B65:D65"/>
    <mergeCell ref="B66:D66"/>
    <mergeCell ref="B2:E2"/>
    <mergeCell ref="C3:E3"/>
    <mergeCell ref="B5:E5"/>
    <mergeCell ref="B7:E7"/>
    <mergeCell ref="B4:E4"/>
    <mergeCell ref="B35:G35"/>
    <mergeCell ref="B37:G37"/>
    <mergeCell ref="B40:E40"/>
    <mergeCell ref="B28:G28"/>
    <mergeCell ref="B31:G31"/>
    <mergeCell ref="B32:G32"/>
    <mergeCell ref="B33:G33"/>
    <mergeCell ref="B34:G34"/>
    <mergeCell ref="B29:E29"/>
    <mergeCell ref="B30:G30"/>
  </mergeCells>
  <hyperlinks>
    <hyperlink ref="B5" r:id="rId1" display="Link to FFBB Methodology Guide, Implementation Guide, Positive Pursuit Guide and break-even goals Action Guides." xr:uid="{C861C5C1-9292-49FD-8141-479F92983462}"/>
    <hyperlink ref="B5:D5" r:id="rId2" display="FFBB Methodology Guide, Implementation Guide, Positive Pursuit Guide and break-even goals Action Guides." xr:uid="{194C635C-1519-4BB9-A075-4E6C016DE8A6}"/>
    <hyperlink ref="C63:E63" r:id="rId3" display="Comparison of Sustainability Frameworks" xr:uid="{B6DD3769-AB2D-4526-BAE2-04E9797E7767}"/>
    <hyperlink ref="B40:D40" r:id="rId4" display="Comparison of Quick vs Advanced Sustainability Assessment Tools" xr:uid="{146BE8E3-24FC-425D-89C4-54FFF0D36BC0}"/>
    <hyperlink ref="B29" r:id="rId5" display="Link to FFBB Methodology Guide, Implementation Guide, Positive Pursuit Guide and break-even goals Action Guides." xr:uid="{AAD8A9AE-D50B-4FB9-BA39-5673EE9C1469}"/>
    <hyperlink ref="B29:D29" r:id="rId6" display="FFBB Methodology Guide, Implementation Guide, Positive Pursuit Guide and break-even goals Action Guides." xr:uid="{7023EA81-A8C9-4EE7-AC49-21E2A931ACF2}"/>
    <hyperlink ref="B29:E29" r:id="rId7" display="The Future-Fit Progress Calculator is at the bottom of this FFBB Resources webpage" xr:uid="{2DE58E75-69F3-4037-BFAA-12D919ABA8A0}"/>
    <hyperlink ref="B66" r:id="rId8" xr:uid="{6F3FEDF1-B26B-419B-9531-4E647D718AD1}"/>
  </hyperlinks>
  <pageMargins left="0.25" right="0.25" top="0.75" bottom="0.75" header="0.3" footer="0.3"/>
  <pageSetup fitToHeight="0" orientation="landscape" horizontalDpi="1200" verticalDpi="1200" r:id="rId9"/>
  <drawing r:id="rId10"/>
  <pictur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4969-6083-4DB6-8D31-7961FBF33E24}">
  <sheetPr>
    <tabColor theme="7" tint="0.79998168889431442"/>
  </sheetPr>
  <dimension ref="A2:N56"/>
  <sheetViews>
    <sheetView zoomScale="85" zoomScaleNormal="85" workbookViewId="0">
      <selection activeCell="B2" sqref="B2:E2"/>
    </sheetView>
  </sheetViews>
  <sheetFormatPr defaultColWidth="8.77734375" defaultRowHeight="15" x14ac:dyDescent="0.35"/>
  <cols>
    <col min="1" max="1" width="2.77734375" style="1" customWidth="1"/>
    <col min="2" max="2" width="52.21875" style="1" customWidth="1"/>
    <col min="3" max="3" width="20.109375" style="1" customWidth="1"/>
    <col min="4" max="4" width="20.77734375" style="1" customWidth="1"/>
    <col min="5" max="5" width="39.44140625" style="1" customWidth="1"/>
    <col min="6" max="11" width="25.6640625" style="1" customWidth="1"/>
    <col min="12" max="16384" width="8.77734375" style="1"/>
  </cols>
  <sheetData>
    <row r="2" spans="2:6" s="2" customFormat="1" ht="45" customHeight="1" x14ac:dyDescent="0.35">
      <c r="B2" s="568" t="s">
        <v>13</v>
      </c>
      <c r="C2" s="569"/>
      <c r="D2" s="569"/>
      <c r="E2" s="569"/>
    </row>
    <row r="3" spans="2:6" s="2" customFormat="1" ht="49.95" customHeight="1" x14ac:dyDescent="0.35">
      <c r="B3" s="570" t="s">
        <v>141</v>
      </c>
      <c r="C3" s="547"/>
      <c r="D3" s="571"/>
      <c r="E3" s="571"/>
      <c r="F3" s="118"/>
    </row>
    <row r="4" spans="2:6" s="12" customFormat="1" ht="30" customHeight="1" x14ac:dyDescent="0.3">
      <c r="B4" s="572" t="s">
        <v>147</v>
      </c>
      <c r="C4" s="573"/>
      <c r="D4" s="574"/>
      <c r="E4" s="574"/>
      <c r="F4" s="119"/>
    </row>
    <row r="5" spans="2:6" ht="25.05" customHeight="1" x14ac:dyDescent="0.35">
      <c r="B5" s="66" t="s">
        <v>8</v>
      </c>
      <c r="C5" s="555" t="s">
        <v>142</v>
      </c>
      <c r="D5" s="556"/>
      <c r="E5" s="575"/>
      <c r="F5" s="120"/>
    </row>
    <row r="6" spans="2:6" ht="25.05" customHeight="1" x14ac:dyDescent="0.35">
      <c r="B6" s="67" t="s">
        <v>9</v>
      </c>
      <c r="C6" s="555" t="s">
        <v>143</v>
      </c>
      <c r="D6" s="556"/>
      <c r="E6" s="575"/>
      <c r="F6" s="121"/>
    </row>
    <row r="7" spans="2:6" ht="25.05" customHeight="1" x14ac:dyDescent="0.35">
      <c r="B7" s="67" t="s">
        <v>22</v>
      </c>
      <c r="C7" s="555" t="s">
        <v>144</v>
      </c>
      <c r="D7" s="556"/>
      <c r="E7" s="575"/>
      <c r="F7" s="120"/>
    </row>
    <row r="8" spans="2:6" ht="25.05" customHeight="1" x14ac:dyDescent="0.35">
      <c r="B8" s="67" t="s">
        <v>11</v>
      </c>
      <c r="C8" s="555" t="s">
        <v>145</v>
      </c>
      <c r="D8" s="556"/>
      <c r="E8" s="575"/>
      <c r="F8" s="120"/>
    </row>
    <row r="9" spans="2:6" ht="25.05" customHeight="1" x14ac:dyDescent="0.35">
      <c r="B9" s="67" t="s">
        <v>10</v>
      </c>
      <c r="C9" s="553" t="s">
        <v>146</v>
      </c>
      <c r="D9" s="554"/>
      <c r="E9" s="554"/>
      <c r="F9" s="122"/>
    </row>
    <row r="10" spans="2:6" ht="25.05" customHeight="1" x14ac:dyDescent="0.35">
      <c r="B10" s="67" t="s">
        <v>15</v>
      </c>
      <c r="C10" s="555" t="s">
        <v>25</v>
      </c>
      <c r="D10" s="556"/>
      <c r="E10" s="556"/>
    </row>
    <row r="11" spans="2:6" ht="40.5" customHeight="1" x14ac:dyDescent="0.35">
      <c r="B11" s="67" t="s">
        <v>12</v>
      </c>
      <c r="C11" s="555" t="s">
        <v>31</v>
      </c>
      <c r="D11" s="556"/>
      <c r="E11" s="556"/>
    </row>
    <row r="12" spans="2:6" ht="25.05" customHeight="1" x14ac:dyDescent="0.35">
      <c r="B12" s="67" t="s">
        <v>50</v>
      </c>
      <c r="C12" s="68">
        <v>6000000</v>
      </c>
      <c r="D12" s="557"/>
      <c r="E12" s="558"/>
    </row>
    <row r="13" spans="2:6" ht="25.05" customHeight="1" x14ac:dyDescent="0.35">
      <c r="B13" s="67" t="s">
        <v>57</v>
      </c>
      <c r="C13" s="69">
        <v>650000</v>
      </c>
      <c r="D13" s="559">
        <f>C13/C12</f>
        <v>0.10833333333333334</v>
      </c>
      <c r="E13" s="559"/>
    </row>
    <row r="14" spans="2:6" ht="25.05" customHeight="1" x14ac:dyDescent="0.35">
      <c r="B14" s="67" t="s">
        <v>55</v>
      </c>
      <c r="C14" s="70">
        <v>4100</v>
      </c>
      <c r="D14" s="551"/>
      <c r="E14" s="552"/>
    </row>
    <row r="15" spans="2:6" ht="25.05" customHeight="1" x14ac:dyDescent="0.35">
      <c r="B15" s="67" t="s">
        <v>56</v>
      </c>
      <c r="C15" s="71">
        <v>990</v>
      </c>
      <c r="D15" s="560">
        <f>C15/(C14+C15)</f>
        <v>0.19449901768172889</v>
      </c>
      <c r="E15" s="560"/>
    </row>
    <row r="16" spans="2:6" ht="25.05" customHeight="1" x14ac:dyDescent="0.35">
      <c r="B16" s="67" t="s">
        <v>58</v>
      </c>
      <c r="C16" s="72">
        <v>0.15</v>
      </c>
      <c r="D16" s="561"/>
      <c r="E16" s="562"/>
    </row>
    <row r="17" spans="1:14" ht="25.05" customHeight="1" x14ac:dyDescent="0.35">
      <c r="B17" s="67" t="s">
        <v>60</v>
      </c>
      <c r="C17" s="73">
        <v>0.03</v>
      </c>
      <c r="D17" s="563"/>
      <c r="E17" s="564"/>
    </row>
    <row r="18" spans="1:14" ht="52.05" customHeight="1" x14ac:dyDescent="0.35">
      <c r="B18" s="74" t="s">
        <v>59</v>
      </c>
      <c r="C18" s="555" t="s">
        <v>689</v>
      </c>
      <c r="D18" s="556"/>
      <c r="E18" s="556"/>
    </row>
    <row r="19" spans="1:14" s="3" customFormat="1" ht="4.95" customHeight="1" x14ac:dyDescent="0.35">
      <c r="B19" s="2"/>
      <c r="C19" s="2"/>
      <c r="D19" s="2"/>
    </row>
    <row r="20" spans="1:14" s="12" customFormat="1" ht="30" customHeight="1" x14ac:dyDescent="0.3">
      <c r="B20" s="589" t="s">
        <v>90</v>
      </c>
      <c r="C20" s="590"/>
      <c r="D20" s="590"/>
      <c r="E20" s="591"/>
    </row>
    <row r="21" spans="1:14" s="7" customFormat="1" ht="43.05" customHeight="1" x14ac:dyDescent="0.35">
      <c r="A21" s="90"/>
      <c r="B21" s="528" t="s">
        <v>91</v>
      </c>
      <c r="C21" s="527"/>
      <c r="D21" s="527"/>
      <c r="E21" s="565"/>
      <c r="F21" s="2"/>
      <c r="G21" s="2"/>
      <c r="H21" s="2"/>
      <c r="I21" s="2"/>
      <c r="J21" s="2"/>
      <c r="K21" s="2"/>
      <c r="L21" s="2"/>
      <c r="M21" s="92"/>
      <c r="N21" s="92"/>
    </row>
    <row r="22" spans="1:14" s="7" customFormat="1" ht="19.95" customHeight="1" x14ac:dyDescent="0.35">
      <c r="A22" s="90"/>
      <c r="B22" s="592" t="s">
        <v>92</v>
      </c>
      <c r="C22" s="593"/>
      <c r="D22" s="593"/>
      <c r="E22" s="594"/>
      <c r="F22" s="2"/>
      <c r="G22" s="2"/>
      <c r="H22" s="2"/>
      <c r="I22" s="2"/>
      <c r="J22" s="2"/>
      <c r="K22" s="2"/>
      <c r="L22" s="2"/>
      <c r="M22" s="92"/>
      <c r="N22" s="92"/>
    </row>
    <row r="23" spans="1:14" s="12" customFormat="1" ht="19.95" customHeight="1" x14ac:dyDescent="0.3">
      <c r="B23" s="93" t="s">
        <v>93</v>
      </c>
      <c r="C23" s="94" t="s">
        <v>94</v>
      </c>
      <c r="D23" s="587" t="s">
        <v>5</v>
      </c>
      <c r="E23" s="588"/>
    </row>
    <row r="24" spans="1:14" s="12" customFormat="1" ht="19.95" customHeight="1" x14ac:dyDescent="0.3">
      <c r="B24" s="95" t="s">
        <v>95</v>
      </c>
      <c r="C24" s="96">
        <v>3000</v>
      </c>
      <c r="D24" s="595" t="s">
        <v>96</v>
      </c>
      <c r="E24" s="596"/>
    </row>
    <row r="25" spans="1:14" s="12" customFormat="1" ht="19.95" customHeight="1" x14ac:dyDescent="0.3">
      <c r="B25" s="97" t="s">
        <v>97</v>
      </c>
      <c r="C25" s="98">
        <v>100</v>
      </c>
      <c r="D25" s="597" t="s">
        <v>98</v>
      </c>
      <c r="E25" s="598"/>
    </row>
    <row r="26" spans="1:14" s="12" customFormat="1" ht="19.95" customHeight="1" x14ac:dyDescent="0.3">
      <c r="B26" s="97" t="s">
        <v>99</v>
      </c>
      <c r="C26" s="98">
        <v>200</v>
      </c>
      <c r="D26" s="597" t="s">
        <v>100</v>
      </c>
      <c r="E26" s="598"/>
    </row>
    <row r="27" spans="1:14" s="12" customFormat="1" ht="19.95" customHeight="1" x14ac:dyDescent="0.3">
      <c r="B27" s="97" t="s">
        <v>101</v>
      </c>
      <c r="C27" s="98">
        <v>300</v>
      </c>
      <c r="D27" s="597" t="s">
        <v>100</v>
      </c>
      <c r="E27" s="598"/>
    </row>
    <row r="28" spans="1:14" s="12" customFormat="1" ht="19.95" customHeight="1" thickBot="1" x14ac:dyDescent="0.35">
      <c r="B28" s="99" t="s">
        <v>102</v>
      </c>
      <c r="C28" s="100">
        <v>500</v>
      </c>
      <c r="D28" s="597" t="s">
        <v>103</v>
      </c>
      <c r="E28" s="598"/>
    </row>
    <row r="29" spans="1:14" s="12" customFormat="1" ht="85.5" customHeight="1" x14ac:dyDescent="0.3">
      <c r="B29" s="582" t="s">
        <v>104</v>
      </c>
      <c r="C29" s="583"/>
      <c r="D29" s="583"/>
      <c r="E29" s="584"/>
    </row>
    <row r="30" spans="1:14" ht="19.95" customHeight="1" x14ac:dyDescent="0.35">
      <c r="B30" s="101" t="s">
        <v>105</v>
      </c>
      <c r="C30" s="102">
        <f>SUM(C24:C28)</f>
        <v>4100</v>
      </c>
      <c r="D30" s="599" t="s">
        <v>106</v>
      </c>
      <c r="E30" s="600"/>
    </row>
    <row r="31" spans="1:14" ht="19.95" customHeight="1" x14ac:dyDescent="0.35">
      <c r="B31" s="101" t="s">
        <v>107</v>
      </c>
      <c r="C31" s="100">
        <f>C14</f>
        <v>4100</v>
      </c>
      <c r="D31" s="599" t="s">
        <v>108</v>
      </c>
      <c r="E31" s="600"/>
    </row>
    <row r="32" spans="1:14" ht="19.95" customHeight="1" x14ac:dyDescent="0.35">
      <c r="B32" s="101" t="s">
        <v>109</v>
      </c>
      <c r="C32" s="103">
        <f>C31-C30</f>
        <v>0</v>
      </c>
      <c r="D32" s="599" t="s">
        <v>110</v>
      </c>
      <c r="E32" s="600"/>
    </row>
    <row r="34" spans="1:14" s="12" customFormat="1" ht="30" customHeight="1" x14ac:dyDescent="0.3">
      <c r="B34" s="589" t="s">
        <v>111</v>
      </c>
      <c r="C34" s="590"/>
      <c r="D34" s="590"/>
      <c r="E34" s="591"/>
    </row>
    <row r="35" spans="1:14" s="7" customFormat="1" ht="37.950000000000003" customHeight="1" x14ac:dyDescent="0.35">
      <c r="A35" s="90"/>
      <c r="B35" s="528" t="s">
        <v>112</v>
      </c>
      <c r="C35" s="527"/>
      <c r="D35" s="527"/>
      <c r="E35" s="565"/>
      <c r="F35" s="2"/>
      <c r="G35" s="2"/>
      <c r="H35" s="2"/>
      <c r="I35" s="2"/>
      <c r="J35" s="2"/>
      <c r="K35" s="2"/>
      <c r="L35" s="2"/>
      <c r="M35" s="92"/>
      <c r="N35" s="92"/>
    </row>
    <row r="36" spans="1:14" s="7" customFormat="1" ht="25.5" customHeight="1" x14ac:dyDescent="0.35">
      <c r="A36" s="90"/>
      <c r="B36" s="579" t="s">
        <v>113</v>
      </c>
      <c r="C36" s="577"/>
      <c r="D36" s="577"/>
      <c r="E36" s="578"/>
      <c r="F36" s="2"/>
      <c r="G36" s="2"/>
      <c r="H36" s="2"/>
      <c r="I36" s="2"/>
      <c r="J36" s="2"/>
      <c r="K36" s="2"/>
      <c r="L36" s="2"/>
      <c r="M36" s="92"/>
      <c r="N36" s="92"/>
    </row>
    <row r="37" spans="1:14" s="7" customFormat="1" ht="82.05" customHeight="1" x14ac:dyDescent="0.35">
      <c r="A37" s="90"/>
      <c r="B37" s="576" t="s">
        <v>114</v>
      </c>
      <c r="C37" s="577"/>
      <c r="D37" s="577"/>
      <c r="E37" s="578"/>
      <c r="F37" s="2"/>
      <c r="G37" s="2"/>
      <c r="H37" s="2"/>
      <c r="I37" s="2"/>
      <c r="J37" s="2"/>
      <c r="K37" s="2"/>
      <c r="L37" s="2"/>
      <c r="M37" s="92"/>
      <c r="N37" s="92"/>
    </row>
    <row r="38" spans="1:14" s="7" customFormat="1" ht="49.5" customHeight="1" x14ac:dyDescent="0.35">
      <c r="A38" s="90"/>
      <c r="B38" s="576" t="s">
        <v>115</v>
      </c>
      <c r="C38" s="577"/>
      <c r="D38" s="577"/>
      <c r="E38" s="578"/>
      <c r="F38" s="2"/>
      <c r="G38" s="2"/>
      <c r="H38" s="2"/>
      <c r="I38" s="2"/>
      <c r="J38" s="2"/>
      <c r="K38" s="2"/>
      <c r="L38" s="2"/>
      <c r="M38" s="92"/>
      <c r="N38" s="92"/>
    </row>
    <row r="39" spans="1:14" s="7" customFormat="1" ht="25.5" customHeight="1" x14ac:dyDescent="0.35">
      <c r="A39" s="90"/>
      <c r="B39" s="579" t="s">
        <v>116</v>
      </c>
      <c r="C39" s="577"/>
      <c r="D39" s="577"/>
      <c r="E39" s="578"/>
      <c r="F39" s="2"/>
      <c r="G39" s="2"/>
      <c r="H39" s="2"/>
      <c r="I39" s="2"/>
      <c r="J39" s="2"/>
      <c r="K39" s="2"/>
      <c r="L39" s="2"/>
      <c r="M39" s="92"/>
      <c r="N39" s="92"/>
    </row>
    <row r="40" spans="1:14" s="7" customFormat="1" ht="40.5" customHeight="1" x14ac:dyDescent="0.35">
      <c r="A40" s="90"/>
      <c r="B40" s="576" t="s">
        <v>117</v>
      </c>
      <c r="C40" s="577"/>
      <c r="D40" s="577"/>
      <c r="E40" s="578"/>
      <c r="F40" s="2"/>
      <c r="G40" s="2"/>
      <c r="H40" s="2"/>
      <c r="I40" s="2"/>
      <c r="J40" s="2"/>
      <c r="K40" s="2"/>
      <c r="L40" s="2"/>
      <c r="M40" s="92"/>
      <c r="N40" s="92"/>
    </row>
    <row r="41" spans="1:14" ht="19.95" customHeight="1" x14ac:dyDescent="0.35">
      <c r="B41" s="93" t="s">
        <v>118</v>
      </c>
      <c r="C41" s="104" t="s">
        <v>119</v>
      </c>
      <c r="D41" s="104" t="s">
        <v>120</v>
      </c>
      <c r="E41" s="105" t="s">
        <v>5</v>
      </c>
    </row>
    <row r="42" spans="1:14" ht="19.95" customHeight="1" x14ac:dyDescent="0.35">
      <c r="B42" s="106" t="s">
        <v>121</v>
      </c>
      <c r="C42" s="107" t="s">
        <v>122</v>
      </c>
      <c r="D42" s="96">
        <v>3000000</v>
      </c>
      <c r="E42" s="108" t="s">
        <v>123</v>
      </c>
    </row>
    <row r="43" spans="1:14" ht="19.95" customHeight="1" x14ac:dyDescent="0.35">
      <c r="B43" s="109" t="s">
        <v>121</v>
      </c>
      <c r="C43" s="110" t="s">
        <v>124</v>
      </c>
      <c r="D43" s="98">
        <v>2000000</v>
      </c>
      <c r="E43" s="111" t="s">
        <v>125</v>
      </c>
    </row>
    <row r="44" spans="1:14" ht="19.95" customHeight="1" x14ac:dyDescent="0.35">
      <c r="B44" s="109" t="s">
        <v>126</v>
      </c>
      <c r="C44" s="110" t="s">
        <v>127</v>
      </c>
      <c r="D44" s="98">
        <f>500*3</f>
        <v>1500</v>
      </c>
      <c r="E44" s="111" t="s">
        <v>128</v>
      </c>
    </row>
    <row r="45" spans="1:14" ht="19.95" customHeight="1" x14ac:dyDescent="0.35">
      <c r="B45" s="109" t="s">
        <v>129</v>
      </c>
      <c r="C45" s="110" t="s">
        <v>130</v>
      </c>
      <c r="D45" s="98">
        <v>500000</v>
      </c>
      <c r="E45" s="111" t="s">
        <v>131</v>
      </c>
    </row>
    <row r="46" spans="1:14" ht="19.95" customHeight="1" thickBot="1" x14ac:dyDescent="0.4">
      <c r="B46" s="112" t="s">
        <v>132</v>
      </c>
      <c r="C46" s="113" t="s">
        <v>133</v>
      </c>
      <c r="D46" s="114">
        <v>1000000</v>
      </c>
      <c r="E46" s="115"/>
    </row>
    <row r="47" spans="1:14" ht="36.450000000000003" customHeight="1" thickBot="1" x14ac:dyDescent="0.4">
      <c r="B47" s="580" t="s">
        <v>134</v>
      </c>
      <c r="C47" s="581"/>
      <c r="D47" s="116">
        <f>SUM(D42:D46)</f>
        <v>6501500</v>
      </c>
      <c r="E47" s="117"/>
    </row>
    <row r="48" spans="1:14" s="12" customFormat="1" ht="75.45" customHeight="1" x14ac:dyDescent="0.3">
      <c r="B48" s="582" t="s">
        <v>135</v>
      </c>
      <c r="C48" s="583"/>
      <c r="D48" s="583"/>
      <c r="E48" s="584"/>
    </row>
    <row r="49" spans="2:9" ht="19.95" customHeight="1" x14ac:dyDescent="0.35">
      <c r="B49" s="566" t="s">
        <v>136</v>
      </c>
      <c r="C49" s="567"/>
      <c r="D49" s="116">
        <f>SUMIF(B42:B46,"Sold or leased goods",D42:D46)+SUMIF(B42:B46,"Service",D42:D46)</f>
        <v>6000000</v>
      </c>
      <c r="E49" s="117" t="s">
        <v>137</v>
      </c>
    </row>
    <row r="50" spans="2:9" ht="19.95" customHeight="1" x14ac:dyDescent="0.35">
      <c r="B50" s="566" t="s">
        <v>138</v>
      </c>
      <c r="C50" s="567"/>
      <c r="D50" s="100">
        <v>6000000</v>
      </c>
      <c r="E50" s="34" t="s">
        <v>139</v>
      </c>
    </row>
    <row r="51" spans="2:9" ht="19.95" customHeight="1" x14ac:dyDescent="0.35">
      <c r="B51" s="566" t="s">
        <v>140</v>
      </c>
      <c r="C51" s="567"/>
      <c r="D51" s="103">
        <f>D50-D49</f>
        <v>0</v>
      </c>
      <c r="E51" s="34" t="s">
        <v>110</v>
      </c>
    </row>
    <row r="53" spans="2:9" s="4" customFormat="1" ht="19.95" customHeight="1" x14ac:dyDescent="0.35">
      <c r="B53" s="585" t="s">
        <v>0</v>
      </c>
      <c r="C53" s="585"/>
      <c r="D53" s="586"/>
      <c r="E53" s="586"/>
      <c r="F53" s="586"/>
      <c r="G53" s="586"/>
      <c r="H53" s="586"/>
    </row>
    <row r="54" spans="2:9" s="4" customFormat="1" ht="19.95" customHeight="1" x14ac:dyDescent="0.35">
      <c r="B54" s="82" t="s">
        <v>23</v>
      </c>
      <c r="C54" s="83"/>
      <c r="D54" s="83"/>
      <c r="E54" s="84"/>
      <c r="F54" s="123"/>
      <c r="G54" s="123"/>
      <c r="H54" s="1"/>
      <c r="I54" s="1"/>
    </row>
    <row r="55" spans="2:9" s="4" customFormat="1" ht="19.95" customHeight="1" x14ac:dyDescent="0.35">
      <c r="B55" s="85" t="s">
        <v>32</v>
      </c>
      <c r="C55" s="86"/>
      <c r="D55" s="86"/>
      <c r="E55" s="87"/>
      <c r="F55" s="123"/>
      <c r="G55" s="123"/>
      <c r="H55" s="1"/>
      <c r="I55" s="1"/>
    </row>
    <row r="56" spans="2:9" s="4" customFormat="1" ht="19.95" customHeight="1" x14ac:dyDescent="0.35">
      <c r="B56" s="79" t="s">
        <v>42</v>
      </c>
      <c r="C56" s="80"/>
      <c r="D56" s="80"/>
      <c r="E56" s="81"/>
      <c r="F56" s="123"/>
      <c r="G56" s="123"/>
      <c r="H56" s="1"/>
      <c r="I56" s="1"/>
    </row>
  </sheetData>
  <mergeCells count="43">
    <mergeCell ref="B53:H53"/>
    <mergeCell ref="D23:E23"/>
    <mergeCell ref="B20:E20"/>
    <mergeCell ref="B21:E21"/>
    <mergeCell ref="B22:E22"/>
    <mergeCell ref="B36:E36"/>
    <mergeCell ref="D24:E24"/>
    <mergeCell ref="D25:E25"/>
    <mergeCell ref="D26:E26"/>
    <mergeCell ref="D27:E27"/>
    <mergeCell ref="D28:E28"/>
    <mergeCell ref="B29:E29"/>
    <mergeCell ref="D30:E30"/>
    <mergeCell ref="D31:E31"/>
    <mergeCell ref="D32:E32"/>
    <mergeCell ref="B34:E34"/>
    <mergeCell ref="B49:C49"/>
    <mergeCell ref="B50:C50"/>
    <mergeCell ref="B51:C51"/>
    <mergeCell ref="B2:E2"/>
    <mergeCell ref="B3:E3"/>
    <mergeCell ref="B4:E4"/>
    <mergeCell ref="C5:E5"/>
    <mergeCell ref="C6:E6"/>
    <mergeCell ref="C7:E7"/>
    <mergeCell ref="C8:E8"/>
    <mergeCell ref="B37:E37"/>
    <mergeCell ref="B38:E38"/>
    <mergeCell ref="B39:E39"/>
    <mergeCell ref="B40:E40"/>
    <mergeCell ref="B47:C47"/>
    <mergeCell ref="B48:E48"/>
    <mergeCell ref="D15:E15"/>
    <mergeCell ref="D16:E16"/>
    <mergeCell ref="D17:E17"/>
    <mergeCell ref="C18:E18"/>
    <mergeCell ref="B35:E35"/>
    <mergeCell ref="D14:E14"/>
    <mergeCell ref="C9:E9"/>
    <mergeCell ref="C10:E10"/>
    <mergeCell ref="C11:E11"/>
    <mergeCell ref="D12:E12"/>
    <mergeCell ref="D13:E13"/>
  </mergeCells>
  <dataValidations count="1">
    <dataValidation type="list" allowBlank="1" showInputMessage="1" showErrorMessage="1" sqref="B42:B46" xr:uid="{C2535D44-7B7F-40FE-8BD8-DCBE09F99D7A}">
      <formula1>"Sold or leased goods, Supplementary materials delivered to customers, Materials used to deliver products, Service"</formula1>
    </dataValidation>
  </dataValidations>
  <hyperlinks>
    <hyperlink ref="B22:E22" r:id="rId1" display="For more guidance on which sites and employees to include, see the FFBB Implementation Guide" xr:uid="{656F5600-C1B9-4478-921E-C66CBD38956B}"/>
    <hyperlink ref="C9" r:id="rId2" display="www.acme.com" xr:uid="{299D3894-DC14-4F72-A4D5-60B2AD52A06A}"/>
    <hyperlink ref="C9:E9" r:id="rId3" display="www.lcproducts.com" xr:uid="{D3C856C8-1B32-4714-8747-A58828D067C0}"/>
  </hyperlinks>
  <pageMargins left="0.7" right="0.7" top="0.75" bottom="0.75" header="0.3" footer="0.3"/>
  <pageSetup orientation="portrait" r:id="rId4"/>
  <pictur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EF1A-6109-43E2-8CF5-B7A9B183340B}">
  <sheetPr>
    <tabColor theme="7" tint="0.59999389629810485"/>
  </sheetPr>
  <dimension ref="A1:AD544"/>
  <sheetViews>
    <sheetView zoomScale="85" zoomScaleNormal="85" workbookViewId="0">
      <selection activeCell="B2" sqref="B2:J2"/>
    </sheetView>
  </sheetViews>
  <sheetFormatPr defaultColWidth="11.6640625" defaultRowHeight="16.2" outlineLevelRow="2" x14ac:dyDescent="0.35"/>
  <cols>
    <col min="1" max="1" width="2.21875" style="4" customWidth="1"/>
    <col min="2" max="2" width="17.88671875" style="4" customWidth="1"/>
    <col min="3" max="3" width="16.109375" style="4" customWidth="1"/>
    <col min="4" max="4" width="16" style="4" customWidth="1"/>
    <col min="5" max="10" width="25.6640625" style="4" customWidth="1"/>
    <col min="11" max="11" width="26.5546875" style="4" customWidth="1"/>
    <col min="12" max="25" width="25.6640625" style="4" customWidth="1"/>
    <col min="26" max="28" width="10.6640625" style="4" hidden="1" customWidth="1"/>
    <col min="29" max="30" width="25.6640625" style="4" customWidth="1"/>
    <col min="31" max="16384" width="11.6640625" style="4"/>
  </cols>
  <sheetData>
    <row r="1" spans="1:15" ht="10.95" customHeight="1" x14ac:dyDescent="0.35"/>
    <row r="2" spans="1:15" ht="53.55" customHeight="1" x14ac:dyDescent="0.35">
      <c r="A2" s="5"/>
      <c r="B2" s="610" t="s">
        <v>690</v>
      </c>
      <c r="C2" s="611"/>
      <c r="D2" s="611"/>
      <c r="E2" s="611"/>
      <c r="F2" s="611"/>
      <c r="G2" s="611"/>
      <c r="H2" s="611"/>
      <c r="I2" s="611"/>
      <c r="J2" s="611"/>
      <c r="K2" s="495"/>
      <c r="L2" s="495"/>
      <c r="M2" s="495"/>
      <c r="N2" s="6"/>
      <c r="O2" s="6"/>
    </row>
    <row r="3" spans="1:15" ht="61.5" customHeight="1" x14ac:dyDescent="0.35">
      <c r="A3" s="10"/>
      <c r="B3" s="527" t="s">
        <v>806</v>
      </c>
      <c r="C3" s="527"/>
      <c r="D3" s="527"/>
      <c r="E3" s="527"/>
      <c r="F3" s="527"/>
      <c r="G3" s="527"/>
      <c r="H3" s="527"/>
      <c r="I3" s="524" t="s">
        <v>809</v>
      </c>
      <c r="J3" s="525"/>
      <c r="L3" s="496"/>
      <c r="M3" s="496"/>
      <c r="N3" s="6"/>
      <c r="O3" s="6"/>
    </row>
    <row r="4" spans="1:15" ht="10.050000000000001" customHeight="1" x14ac:dyDescent="0.35"/>
    <row r="5" spans="1:15" ht="52.5" customHeight="1" x14ac:dyDescent="0.35">
      <c r="A5" s="10"/>
      <c r="B5" s="610" t="s">
        <v>807</v>
      </c>
      <c r="C5" s="611"/>
      <c r="D5" s="611"/>
      <c r="E5" s="611"/>
      <c r="F5" s="611"/>
      <c r="G5" s="611"/>
      <c r="H5" s="611"/>
      <c r="I5" s="611"/>
      <c r="J5" s="611"/>
      <c r="K5" s="490"/>
      <c r="L5" s="490"/>
      <c r="M5" s="490"/>
      <c r="N5" s="8"/>
      <c r="O5" s="6"/>
    </row>
    <row r="6" spans="1:15" s="7" customFormat="1" ht="40.049999999999997" customHeight="1" x14ac:dyDescent="0.35">
      <c r="B6" s="615" t="s">
        <v>43</v>
      </c>
      <c r="C6" s="615"/>
      <c r="D6" s="615"/>
      <c r="E6" s="615"/>
      <c r="F6" s="615"/>
      <c r="G6" s="615"/>
      <c r="H6" s="615"/>
      <c r="I6" s="615"/>
      <c r="J6" s="615"/>
      <c r="K6" s="497"/>
      <c r="L6" s="497"/>
      <c r="M6" s="497"/>
    </row>
    <row r="7" spans="1:15" s="7" customFormat="1" ht="24" customHeight="1" x14ac:dyDescent="0.35">
      <c r="B7" s="445"/>
      <c r="C7" s="601" t="s">
        <v>43</v>
      </c>
      <c r="D7" s="602"/>
      <c r="E7" s="462">
        <f>$J$48</f>
        <v>0.55000000000000004</v>
      </c>
      <c r="F7" s="445"/>
      <c r="G7" s="446"/>
      <c r="H7" s="446"/>
      <c r="I7" s="446"/>
      <c r="J7" s="446"/>
      <c r="K7" s="491"/>
      <c r="L7" s="491"/>
      <c r="M7" s="491"/>
    </row>
    <row r="8" spans="1:15" s="7" customFormat="1" ht="29.4" customHeight="1" x14ac:dyDescent="0.35">
      <c r="B8" s="445"/>
      <c r="C8" s="445"/>
      <c r="D8" s="445"/>
      <c r="E8" s="445"/>
      <c r="F8" s="445"/>
      <c r="G8" s="446"/>
      <c r="H8" s="446"/>
      <c r="I8" s="446"/>
      <c r="J8" s="446"/>
      <c r="K8" s="491"/>
      <c r="L8" s="491"/>
      <c r="M8" s="491"/>
    </row>
    <row r="9" spans="1:15" s="7" customFormat="1" ht="40.049999999999997" customHeight="1" x14ac:dyDescent="0.35">
      <c r="B9" s="615" t="s">
        <v>702</v>
      </c>
      <c r="C9" s="615"/>
      <c r="D9" s="615"/>
      <c r="E9" s="615"/>
      <c r="F9" s="615"/>
      <c r="G9" s="615"/>
      <c r="H9" s="615"/>
      <c r="I9" s="615"/>
      <c r="J9" s="615"/>
      <c r="K9" s="491"/>
      <c r="L9" s="491"/>
      <c r="M9" s="491"/>
    </row>
    <row r="10" spans="1:15" s="7" customFormat="1" ht="19.95" customHeight="1" x14ac:dyDescent="0.35">
      <c r="B10" s="445"/>
      <c r="C10" s="616" t="s">
        <v>687</v>
      </c>
      <c r="D10" s="617"/>
      <c r="E10" s="456">
        <f>$J$73</f>
        <v>0.11214953271028037</v>
      </c>
      <c r="F10" s="445"/>
      <c r="G10" s="446"/>
      <c r="H10" s="446"/>
      <c r="I10" s="446"/>
      <c r="J10" s="446"/>
      <c r="K10" s="491"/>
      <c r="L10" s="491"/>
      <c r="M10" s="491"/>
    </row>
    <row r="11" spans="1:15" s="7" customFormat="1" ht="22.2" customHeight="1" x14ac:dyDescent="0.35">
      <c r="B11" s="445"/>
      <c r="C11" s="618" t="s">
        <v>1</v>
      </c>
      <c r="D11" s="619"/>
      <c r="E11" s="457">
        <f>$J$85</f>
        <v>0.78169014084507038</v>
      </c>
      <c r="F11" s="445"/>
      <c r="G11" s="446"/>
      <c r="H11" s="446"/>
      <c r="I11" s="446"/>
      <c r="J11" s="446"/>
      <c r="K11" s="491"/>
      <c r="L11" s="491"/>
      <c r="M11" s="491"/>
    </row>
    <row r="12" spans="1:15" s="7" customFormat="1" ht="19.8" customHeight="1" x14ac:dyDescent="0.35">
      <c r="B12" s="445"/>
      <c r="C12" s="618" t="s">
        <v>686</v>
      </c>
      <c r="D12" s="619"/>
      <c r="E12" s="457">
        <f>$J$99</f>
        <v>1</v>
      </c>
      <c r="F12" s="445"/>
      <c r="G12" s="446"/>
      <c r="H12" s="446"/>
      <c r="I12" s="446"/>
      <c r="J12" s="446"/>
      <c r="K12" s="491"/>
      <c r="L12" s="491"/>
      <c r="M12" s="491"/>
    </row>
    <row r="13" spans="1:15" s="7" customFormat="1" ht="18.600000000000001" customHeight="1" x14ac:dyDescent="0.35">
      <c r="B13" s="445"/>
      <c r="C13" s="620" t="s">
        <v>685</v>
      </c>
      <c r="D13" s="621"/>
      <c r="E13" s="458">
        <f>$J$113</f>
        <v>0.58377706780262695</v>
      </c>
      <c r="F13" s="445"/>
      <c r="G13" s="446"/>
      <c r="H13" s="446"/>
      <c r="I13" s="446"/>
      <c r="J13" s="446"/>
      <c r="K13" s="491"/>
      <c r="L13" s="491"/>
      <c r="M13" s="491"/>
    </row>
    <row r="14" spans="1:15" s="7" customFormat="1" ht="19.95" customHeight="1" x14ac:dyDescent="0.35">
      <c r="B14" s="446"/>
      <c r="C14" s="622"/>
      <c r="D14" s="623"/>
      <c r="E14" s="455">
        <f>SUM(E10:E13)/4</f>
        <v>0.61940418533949448</v>
      </c>
      <c r="F14" s="446"/>
      <c r="G14" s="446"/>
      <c r="H14" s="446"/>
      <c r="I14" s="446"/>
      <c r="J14" s="446"/>
      <c r="K14" s="491"/>
      <c r="L14" s="491"/>
      <c r="M14" s="491"/>
    </row>
    <row r="15" spans="1:15" s="7" customFormat="1" ht="40.049999999999997" customHeight="1" x14ac:dyDescent="0.35">
      <c r="B15" s="615" t="s">
        <v>701</v>
      </c>
      <c r="C15" s="615"/>
      <c r="D15" s="615"/>
      <c r="E15" s="615"/>
      <c r="F15" s="615"/>
      <c r="G15" s="615"/>
      <c r="H15" s="615"/>
      <c r="I15" s="615"/>
      <c r="J15" s="615"/>
    </row>
    <row r="16" spans="1:15" s="7" customFormat="1" ht="19.95" customHeight="1" x14ac:dyDescent="0.35">
      <c r="B16" s="445"/>
      <c r="C16" s="616" t="s">
        <v>684</v>
      </c>
      <c r="D16" s="617"/>
      <c r="E16" s="456">
        <f>$J$191</f>
        <v>0.62663805616757784</v>
      </c>
      <c r="F16" s="445"/>
      <c r="G16" s="446"/>
      <c r="H16" s="446"/>
      <c r="I16" s="446"/>
      <c r="J16" s="446"/>
    </row>
    <row r="17" spans="2:10" s="7" customFormat="1" ht="19.95" customHeight="1" x14ac:dyDescent="0.35">
      <c r="B17" s="445"/>
      <c r="C17" s="618" t="s">
        <v>683</v>
      </c>
      <c r="D17" s="619"/>
      <c r="E17" s="457">
        <f>$J$206</f>
        <v>0.29853228962818001</v>
      </c>
      <c r="F17" s="445"/>
      <c r="G17" s="446"/>
      <c r="H17" s="446"/>
      <c r="I17" s="446"/>
      <c r="J17" s="446"/>
    </row>
    <row r="18" spans="2:10" s="7" customFormat="1" ht="19.95" customHeight="1" x14ac:dyDescent="0.35">
      <c r="B18" s="445"/>
      <c r="C18" s="618" t="s">
        <v>682</v>
      </c>
      <c r="D18" s="619"/>
      <c r="E18" s="457">
        <f>$J$218</f>
        <v>0.44862835249042143</v>
      </c>
      <c r="F18" s="445"/>
      <c r="G18" s="446"/>
      <c r="H18" s="446"/>
      <c r="I18" s="446"/>
      <c r="J18" s="446"/>
    </row>
    <row r="19" spans="2:10" s="7" customFormat="1" ht="19.95" customHeight="1" x14ac:dyDescent="0.35">
      <c r="B19" s="445"/>
      <c r="C19" s="620" t="s">
        <v>2</v>
      </c>
      <c r="D19" s="621"/>
      <c r="E19" s="458">
        <f>$J$230</f>
        <v>0.35353535353535354</v>
      </c>
      <c r="F19" s="445"/>
      <c r="G19" s="446"/>
      <c r="H19" s="446"/>
      <c r="I19" s="446"/>
      <c r="J19" s="446"/>
    </row>
    <row r="20" spans="2:10" s="7" customFormat="1" ht="19.95" customHeight="1" x14ac:dyDescent="0.35">
      <c r="B20" s="446"/>
      <c r="C20" s="622"/>
      <c r="D20" s="623"/>
      <c r="E20" s="455">
        <f>SUM(E16:E19)/4</f>
        <v>0.43183351295538325</v>
      </c>
      <c r="F20" s="446"/>
      <c r="G20" s="446"/>
      <c r="H20" s="446"/>
      <c r="I20" s="446"/>
      <c r="J20" s="446"/>
    </row>
    <row r="21" spans="2:10" s="7" customFormat="1" ht="40.049999999999997" customHeight="1" x14ac:dyDescent="0.35">
      <c r="B21" s="615" t="s">
        <v>703</v>
      </c>
      <c r="C21" s="615"/>
      <c r="D21" s="615"/>
      <c r="E21" s="615"/>
      <c r="F21" s="615"/>
      <c r="G21" s="615"/>
      <c r="H21" s="615"/>
      <c r="I21" s="615"/>
      <c r="J21" s="615"/>
    </row>
    <row r="22" spans="2:10" s="7" customFormat="1" ht="19.95" customHeight="1" x14ac:dyDescent="0.35">
      <c r="B22" s="445"/>
      <c r="C22" s="616" t="s">
        <v>681</v>
      </c>
      <c r="D22" s="617"/>
      <c r="E22" s="456">
        <f>$J$243</f>
        <v>0.69237868184265172</v>
      </c>
      <c r="F22" s="445"/>
      <c r="G22" s="446"/>
      <c r="H22" s="446"/>
      <c r="I22" s="446"/>
      <c r="J22" s="446"/>
    </row>
    <row r="23" spans="2:10" s="7" customFormat="1" ht="19.95" customHeight="1" x14ac:dyDescent="0.35">
      <c r="B23" s="445"/>
      <c r="C23" s="620" t="s">
        <v>680</v>
      </c>
      <c r="D23" s="621"/>
      <c r="E23" s="458">
        <f>$J$255</f>
        <v>0.74063981020458036</v>
      </c>
      <c r="F23" s="445"/>
      <c r="G23" s="446"/>
      <c r="H23" s="446"/>
      <c r="I23" s="446"/>
      <c r="J23" s="446"/>
    </row>
    <row r="24" spans="2:10" s="7" customFormat="1" ht="19.95" customHeight="1" x14ac:dyDescent="0.35">
      <c r="B24" s="446"/>
      <c r="C24" s="622"/>
      <c r="D24" s="623"/>
      <c r="E24" s="455">
        <f>SUM(E22:E23)/2</f>
        <v>0.71650924602361599</v>
      </c>
      <c r="F24" s="446"/>
      <c r="G24" s="446"/>
      <c r="H24" s="446"/>
      <c r="I24" s="446"/>
      <c r="J24" s="446"/>
    </row>
    <row r="25" spans="2:10" s="7" customFormat="1" ht="40.049999999999997" customHeight="1" x14ac:dyDescent="0.35">
      <c r="B25" s="615" t="s">
        <v>704</v>
      </c>
      <c r="C25" s="615"/>
      <c r="D25" s="615"/>
      <c r="E25" s="615"/>
      <c r="F25" s="615"/>
      <c r="G25" s="615"/>
      <c r="H25" s="615"/>
      <c r="I25" s="615"/>
      <c r="J25" s="615"/>
    </row>
    <row r="26" spans="2:10" s="7" customFormat="1" ht="19.95" customHeight="1" x14ac:dyDescent="0.35">
      <c r="B26" s="445"/>
      <c r="C26" s="916" t="s">
        <v>679</v>
      </c>
      <c r="D26" s="917"/>
      <c r="E26" s="456">
        <f>$J$271</f>
        <v>0.36341463414634145</v>
      </c>
      <c r="F26" s="445"/>
      <c r="G26" s="446"/>
      <c r="H26" s="446"/>
      <c r="I26" s="446"/>
      <c r="J26" s="446"/>
    </row>
    <row r="27" spans="2:10" s="7" customFormat="1" ht="19.95" customHeight="1" x14ac:dyDescent="0.35">
      <c r="B27" s="445"/>
      <c r="C27" s="603" t="s">
        <v>6</v>
      </c>
      <c r="D27" s="604"/>
      <c r="E27" s="457">
        <f>$J$286</f>
        <v>0.69512195121951215</v>
      </c>
      <c r="F27" s="445"/>
      <c r="G27" s="446"/>
      <c r="H27" s="446"/>
      <c r="I27" s="446"/>
      <c r="J27" s="446"/>
    </row>
    <row r="28" spans="2:10" s="7" customFormat="1" ht="19.95" customHeight="1" x14ac:dyDescent="0.35">
      <c r="B28" s="445"/>
      <c r="C28" s="603" t="s">
        <v>678</v>
      </c>
      <c r="D28" s="604"/>
      <c r="E28" s="457">
        <f>$J$299</f>
        <v>0.50731707317073171</v>
      </c>
      <c r="F28" s="445"/>
      <c r="G28" s="446"/>
      <c r="H28" s="446"/>
      <c r="I28" s="446"/>
      <c r="J28" s="446"/>
    </row>
    <row r="29" spans="2:10" s="7" customFormat="1" ht="19.95" customHeight="1" x14ac:dyDescent="0.35">
      <c r="B29" s="445"/>
      <c r="C29" s="603" t="s">
        <v>677</v>
      </c>
      <c r="D29" s="604"/>
      <c r="E29" s="457">
        <f>$J$313</f>
        <v>0.12195121951219512</v>
      </c>
      <c r="F29" s="445"/>
      <c r="G29" s="446"/>
      <c r="H29" s="446"/>
      <c r="I29" s="446"/>
      <c r="J29" s="446"/>
    </row>
    <row r="30" spans="2:10" s="7" customFormat="1" ht="19.95" customHeight="1" x14ac:dyDescent="0.35">
      <c r="B30" s="445"/>
      <c r="C30" s="925" t="s">
        <v>676</v>
      </c>
      <c r="D30" s="926"/>
      <c r="E30" s="458">
        <f>$J$327</f>
        <v>0.88048780487804879</v>
      </c>
      <c r="F30" s="445"/>
      <c r="G30" s="446"/>
      <c r="H30" s="446"/>
      <c r="I30" s="446"/>
      <c r="J30" s="446"/>
    </row>
    <row r="31" spans="2:10" s="7" customFormat="1" ht="19.95" customHeight="1" x14ac:dyDescent="0.35">
      <c r="B31" s="446"/>
      <c r="C31" s="622"/>
      <c r="D31" s="623"/>
      <c r="E31" s="455">
        <f>SUM(E26:E30)/5</f>
        <v>0.51365853658536587</v>
      </c>
      <c r="F31" s="446"/>
      <c r="G31" s="446"/>
      <c r="H31" s="446"/>
      <c r="I31" s="446"/>
      <c r="J31" s="446"/>
    </row>
    <row r="32" spans="2:10" s="7" customFormat="1" ht="40.049999999999997" customHeight="1" x14ac:dyDescent="0.35">
      <c r="B32" s="615" t="s">
        <v>797</v>
      </c>
      <c r="C32" s="615"/>
      <c r="D32" s="615"/>
      <c r="E32" s="615"/>
      <c r="F32" s="615"/>
      <c r="G32" s="615"/>
      <c r="H32" s="615"/>
      <c r="I32" s="615"/>
      <c r="J32" s="615"/>
    </row>
    <row r="33" spans="1:16" s="7" customFormat="1" ht="19.95" customHeight="1" x14ac:dyDescent="0.35">
      <c r="B33" s="445"/>
      <c r="C33" s="923" t="s">
        <v>675</v>
      </c>
      <c r="D33" s="924"/>
      <c r="E33" s="456">
        <f>$J$341</f>
        <v>0.75000000000000011</v>
      </c>
      <c r="F33" s="445"/>
      <c r="G33" s="446"/>
      <c r="H33" s="446"/>
      <c r="I33" s="446"/>
      <c r="J33" s="446"/>
    </row>
    <row r="34" spans="1:16" s="7" customFormat="1" ht="19.95" customHeight="1" x14ac:dyDescent="0.35">
      <c r="B34" s="445"/>
      <c r="C34" s="918" t="s">
        <v>674</v>
      </c>
      <c r="D34" s="919"/>
      <c r="E34" s="457">
        <f>$J$355</f>
        <v>0.42303699146350843</v>
      </c>
      <c r="F34" s="445"/>
      <c r="G34" s="446"/>
      <c r="H34" s="446"/>
      <c r="I34" s="446"/>
      <c r="J34" s="446"/>
    </row>
    <row r="35" spans="1:16" s="7" customFormat="1" ht="19.95" customHeight="1" x14ac:dyDescent="0.35">
      <c r="B35" s="445"/>
      <c r="C35" s="918" t="s">
        <v>673</v>
      </c>
      <c r="D35" s="919"/>
      <c r="E35" s="457">
        <f>$J$369</f>
        <v>0.76926093978312693</v>
      </c>
      <c r="F35" s="445"/>
      <c r="G35" s="446"/>
      <c r="H35" s="446"/>
      <c r="I35" s="446"/>
      <c r="J35" s="446"/>
    </row>
    <row r="36" spans="1:16" s="7" customFormat="1" ht="19.95" customHeight="1" x14ac:dyDescent="0.35">
      <c r="B36" s="445"/>
      <c r="C36" s="918" t="s">
        <v>672</v>
      </c>
      <c r="D36" s="919"/>
      <c r="E36" s="457">
        <f>$J$383</f>
        <v>0.3460739829270168</v>
      </c>
      <c r="F36" s="445"/>
      <c r="G36" s="446"/>
      <c r="H36" s="446"/>
      <c r="I36" s="446"/>
      <c r="J36" s="446"/>
    </row>
    <row r="37" spans="1:16" s="7" customFormat="1" ht="19.95" customHeight="1" x14ac:dyDescent="0.35">
      <c r="B37" s="445"/>
      <c r="C37" s="918" t="s">
        <v>671</v>
      </c>
      <c r="D37" s="919"/>
      <c r="E37" s="457">
        <f>$J$409</f>
        <v>0.88115942028985506</v>
      </c>
      <c r="F37" s="445"/>
      <c r="G37" s="446"/>
      <c r="H37" s="446"/>
      <c r="I37" s="446"/>
      <c r="J37" s="446"/>
    </row>
    <row r="38" spans="1:16" s="7" customFormat="1" ht="19.95" customHeight="1" x14ac:dyDescent="0.35">
      <c r="B38" s="445"/>
      <c r="C38" s="918" t="s">
        <v>670</v>
      </c>
      <c r="D38" s="919"/>
      <c r="E38" s="457">
        <f>$J$424</f>
        <v>0.6470588235294118</v>
      </c>
      <c r="F38" s="445"/>
      <c r="G38" s="446"/>
      <c r="H38" s="446"/>
      <c r="I38" s="446"/>
      <c r="J38" s="446"/>
    </row>
    <row r="39" spans="1:16" s="7" customFormat="1" ht="19.95" customHeight="1" x14ac:dyDescent="0.35">
      <c r="B39" s="445"/>
      <c r="C39" s="918" t="s">
        <v>46</v>
      </c>
      <c r="D39" s="919"/>
      <c r="E39" s="457">
        <f>$J$451</f>
        <v>0.5</v>
      </c>
      <c r="F39" s="445"/>
      <c r="G39" s="446"/>
      <c r="H39" s="446"/>
      <c r="I39" s="446"/>
      <c r="J39" s="446"/>
    </row>
    <row r="40" spans="1:16" s="7" customFormat="1" ht="19.95" customHeight="1" x14ac:dyDescent="0.35">
      <c r="B40" s="445"/>
      <c r="C40" s="920" t="s">
        <v>669</v>
      </c>
      <c r="D40" s="921"/>
      <c r="E40" s="458">
        <f>$J$463</f>
        <v>0.59272411616161624</v>
      </c>
      <c r="F40" s="445"/>
      <c r="G40" s="446"/>
      <c r="H40" s="446"/>
      <c r="I40" s="446"/>
      <c r="J40" s="446"/>
    </row>
    <row r="41" spans="1:16" s="7" customFormat="1" ht="19.95" customHeight="1" x14ac:dyDescent="0.35">
      <c r="B41" s="446"/>
      <c r="C41" s="622"/>
      <c r="D41" s="623"/>
      <c r="E41" s="455">
        <f>SUM(E33:E40)/8</f>
        <v>0.61366428426931696</v>
      </c>
      <c r="F41" s="446"/>
      <c r="G41" s="446"/>
      <c r="H41" s="446"/>
      <c r="I41" s="446"/>
      <c r="J41" s="446"/>
      <c r="K41" s="498"/>
    </row>
    <row r="42" spans="1:16" s="7" customFormat="1" ht="19.95" customHeight="1" x14ac:dyDescent="0.35">
      <c r="B42" s="446"/>
      <c r="C42" s="446"/>
      <c r="D42" s="446"/>
      <c r="E42" s="446"/>
      <c r="F42" s="446"/>
      <c r="G42" s="446"/>
      <c r="H42" s="446"/>
      <c r="I42" s="446"/>
      <c r="J42" s="446"/>
      <c r="K42" s="498"/>
    </row>
    <row r="43" spans="1:16" s="7" customFormat="1" ht="46.2" customHeight="1" x14ac:dyDescent="0.35">
      <c r="B43" s="612" t="s">
        <v>808</v>
      </c>
      <c r="C43" s="613"/>
      <c r="D43" s="613"/>
      <c r="E43" s="613"/>
      <c r="F43" s="613"/>
      <c r="G43" s="613"/>
      <c r="H43" s="613"/>
      <c r="I43" s="614"/>
      <c r="J43" s="501" t="s">
        <v>789</v>
      </c>
      <c r="K43" s="499"/>
    </row>
    <row r="44" spans="1:16" ht="10.050000000000001" customHeight="1" x14ac:dyDescent="0.35">
      <c r="K44" s="330"/>
      <c r="L44" s="7"/>
      <c r="M44" s="7"/>
    </row>
    <row r="45" spans="1:16" ht="30" customHeight="1" x14ac:dyDescent="0.35">
      <c r="A45" s="330"/>
      <c r="B45" s="650" t="s">
        <v>772</v>
      </c>
      <c r="C45" s="651"/>
      <c r="D45" s="651"/>
      <c r="E45" s="651"/>
      <c r="F45" s="651"/>
      <c r="G45" s="651"/>
      <c r="H45" s="651"/>
      <c r="I45" s="651"/>
      <c r="J45" s="651"/>
      <c r="K45" s="500"/>
      <c r="L45" s="1"/>
      <c r="M45" s="1"/>
      <c r="N45" s="8"/>
      <c r="O45" s="6"/>
    </row>
    <row r="46" spans="1:16" ht="106.2" customHeight="1" x14ac:dyDescent="0.35">
      <c r="B46" s="527" t="s">
        <v>804</v>
      </c>
      <c r="C46" s="661"/>
      <c r="D46" s="661"/>
      <c r="E46" s="661"/>
      <c r="F46" s="661"/>
      <c r="G46" s="661"/>
      <c r="H46" s="661"/>
      <c r="I46" s="661"/>
      <c r="J46" s="661"/>
      <c r="K46" s="1"/>
      <c r="L46" s="1"/>
      <c r="M46" s="1"/>
      <c r="N46" s="8"/>
      <c r="O46" s="6"/>
    </row>
    <row r="47" spans="1:16" ht="10.050000000000001" customHeight="1" x14ac:dyDescent="0.35"/>
    <row r="48" spans="1:16" ht="30" customHeight="1" x14ac:dyDescent="0.35">
      <c r="B48" s="814" t="s">
        <v>49</v>
      </c>
      <c r="C48" s="815"/>
      <c r="D48" s="815"/>
      <c r="E48" s="815"/>
      <c r="F48" s="815"/>
      <c r="G48" s="815"/>
      <c r="H48" s="816"/>
      <c r="I48" s="40" t="s">
        <v>24</v>
      </c>
      <c r="J48" s="39">
        <f>J63</f>
        <v>0.55000000000000004</v>
      </c>
      <c r="L48" s="11"/>
      <c r="M48" s="11"/>
      <c r="N48" s="11"/>
      <c r="O48" s="11"/>
      <c r="P48" s="11"/>
    </row>
    <row r="49" spans="2:28" ht="59.55" hidden="1" customHeight="1" outlineLevel="2" x14ac:dyDescent="0.35">
      <c r="B49" s="817" t="s">
        <v>778</v>
      </c>
      <c r="C49" s="818"/>
      <c r="D49" s="818"/>
      <c r="E49" s="818"/>
      <c r="F49" s="818"/>
      <c r="G49" s="818"/>
      <c r="H49" s="818"/>
      <c r="I49" s="818"/>
      <c r="J49" s="819"/>
      <c r="L49" s="11"/>
      <c r="M49" s="11"/>
      <c r="N49" s="11"/>
      <c r="O49" s="11"/>
      <c r="P49" s="11"/>
    </row>
    <row r="50" spans="2:28" ht="19.95" hidden="1" customHeight="1" outlineLevel="2" x14ac:dyDescent="0.35">
      <c r="B50" s="823" t="s">
        <v>62</v>
      </c>
      <c r="C50" s="824"/>
      <c r="D50" s="824"/>
      <c r="E50" s="824"/>
      <c r="F50" s="824"/>
      <c r="G50" s="824"/>
      <c r="H50" s="841" t="s">
        <v>61</v>
      </c>
      <c r="I50" s="842"/>
      <c r="J50" s="843"/>
      <c r="L50" s="25"/>
      <c r="M50" s="3"/>
      <c r="N50" s="3"/>
      <c r="O50" s="11"/>
      <c r="P50" s="11"/>
    </row>
    <row r="51" spans="2:28" ht="19.95" hidden="1" customHeight="1" outlineLevel="2" x14ac:dyDescent="0.35">
      <c r="B51" s="825"/>
      <c r="C51" s="826"/>
      <c r="D51" s="826"/>
      <c r="E51" s="826"/>
      <c r="F51" s="826"/>
      <c r="G51" s="826"/>
      <c r="H51" s="44" t="s">
        <v>4</v>
      </c>
      <c r="I51" s="44" t="s">
        <v>14</v>
      </c>
      <c r="J51" s="45" t="s">
        <v>3</v>
      </c>
      <c r="L51" s="12"/>
      <c r="M51" s="12"/>
      <c r="N51" s="12"/>
      <c r="O51" s="11"/>
      <c r="P51" s="11"/>
    </row>
    <row r="52" spans="2:28" ht="72" hidden="1" customHeight="1" outlineLevel="2" x14ac:dyDescent="0.35">
      <c r="B52" s="825" t="s">
        <v>779</v>
      </c>
      <c r="C52" s="826"/>
      <c r="D52" s="826"/>
      <c r="E52" s="826"/>
      <c r="F52" s="826"/>
      <c r="G52" s="827"/>
      <c r="H52" s="46"/>
      <c r="I52" s="47"/>
      <c r="J52" s="48"/>
      <c r="O52" s="11"/>
      <c r="P52" s="11"/>
      <c r="Z52" s="35" t="b">
        <v>0</v>
      </c>
      <c r="AA52" s="28" t="b">
        <v>0</v>
      </c>
      <c r="AB52" s="29" t="b">
        <v>1</v>
      </c>
    </row>
    <row r="53" spans="2:28" ht="25.05" hidden="1" customHeight="1" outlineLevel="2" x14ac:dyDescent="0.35">
      <c r="B53" s="820" t="s">
        <v>801</v>
      </c>
      <c r="C53" s="821"/>
      <c r="D53" s="821"/>
      <c r="E53" s="821"/>
      <c r="F53" s="821"/>
      <c r="G53" s="822"/>
      <c r="H53" s="49"/>
      <c r="I53" s="50"/>
      <c r="J53" s="51"/>
      <c r="O53" s="11"/>
      <c r="P53" s="11"/>
      <c r="Z53" s="36" t="b">
        <v>0</v>
      </c>
      <c r="AA53" s="30" t="b">
        <v>1</v>
      </c>
      <c r="AB53" s="31" t="b">
        <v>0</v>
      </c>
    </row>
    <row r="54" spans="2:28" ht="25.05" hidden="1" customHeight="1" outlineLevel="2" x14ac:dyDescent="0.35">
      <c r="B54" s="820" t="s">
        <v>780</v>
      </c>
      <c r="C54" s="821"/>
      <c r="D54" s="821"/>
      <c r="E54" s="821"/>
      <c r="F54" s="821"/>
      <c r="G54" s="822"/>
      <c r="H54" s="49"/>
      <c r="I54" s="50"/>
      <c r="J54" s="51"/>
      <c r="O54" s="11"/>
      <c r="P54" s="11"/>
      <c r="Z54" s="36" t="b">
        <v>0</v>
      </c>
      <c r="AA54" s="30" t="b">
        <v>1</v>
      </c>
      <c r="AB54" s="31" t="b">
        <v>0</v>
      </c>
    </row>
    <row r="55" spans="2:28" ht="25.05" hidden="1" customHeight="1" outlineLevel="2" x14ac:dyDescent="0.35">
      <c r="B55" s="820" t="s">
        <v>781</v>
      </c>
      <c r="C55" s="821"/>
      <c r="D55" s="821"/>
      <c r="E55" s="821"/>
      <c r="F55" s="821"/>
      <c r="G55" s="822"/>
      <c r="H55" s="49"/>
      <c r="I55" s="50"/>
      <c r="J55" s="51"/>
      <c r="O55" s="11"/>
      <c r="P55" s="11"/>
      <c r="Z55" s="36" t="b">
        <v>0</v>
      </c>
      <c r="AA55" s="30" t="b">
        <v>1</v>
      </c>
      <c r="AB55" s="31" t="b">
        <v>0</v>
      </c>
    </row>
    <row r="56" spans="2:28" ht="40.950000000000003" hidden="1" customHeight="1" outlineLevel="2" x14ac:dyDescent="0.35">
      <c r="B56" s="820" t="s">
        <v>782</v>
      </c>
      <c r="C56" s="821"/>
      <c r="D56" s="821"/>
      <c r="E56" s="821"/>
      <c r="F56" s="821"/>
      <c r="G56" s="822"/>
      <c r="H56" s="49"/>
      <c r="I56" s="50"/>
      <c r="J56" s="51"/>
      <c r="O56" s="11"/>
      <c r="P56" s="11"/>
      <c r="Z56" s="36" t="b">
        <v>0</v>
      </c>
      <c r="AA56" s="30" t="b">
        <v>0</v>
      </c>
      <c r="AB56" s="31" t="b">
        <v>1</v>
      </c>
    </row>
    <row r="57" spans="2:28" ht="25.05" hidden="1" customHeight="1" outlineLevel="2" x14ac:dyDescent="0.35">
      <c r="B57" s="820" t="s">
        <v>783</v>
      </c>
      <c r="C57" s="821"/>
      <c r="D57" s="821"/>
      <c r="E57" s="821"/>
      <c r="F57" s="821"/>
      <c r="G57" s="822"/>
      <c r="H57" s="49"/>
      <c r="I57" s="50"/>
      <c r="J57" s="51"/>
      <c r="O57" s="11"/>
      <c r="P57" s="11"/>
      <c r="Z57" s="36" t="b">
        <v>0</v>
      </c>
      <c r="AA57" s="30" t="b">
        <v>0</v>
      </c>
      <c r="AB57" s="31" t="b">
        <v>1</v>
      </c>
    </row>
    <row r="58" spans="2:28" ht="25.05" hidden="1" customHeight="1" outlineLevel="2" x14ac:dyDescent="0.35">
      <c r="B58" s="820" t="s">
        <v>784</v>
      </c>
      <c r="C58" s="821"/>
      <c r="D58" s="821"/>
      <c r="E58" s="821"/>
      <c r="F58" s="821"/>
      <c r="G58" s="822"/>
      <c r="H58" s="49"/>
      <c r="I58" s="50"/>
      <c r="J58" s="51"/>
      <c r="O58" s="11"/>
      <c r="P58" s="11"/>
      <c r="Z58" s="37" t="b">
        <v>1</v>
      </c>
      <c r="AA58" s="30" t="b">
        <v>0</v>
      </c>
      <c r="AB58" s="31" t="b">
        <v>0</v>
      </c>
    </row>
    <row r="59" spans="2:28" ht="37.5" hidden="1" customHeight="1" outlineLevel="2" x14ac:dyDescent="0.35">
      <c r="B59" s="820" t="s">
        <v>785</v>
      </c>
      <c r="C59" s="821"/>
      <c r="D59" s="821"/>
      <c r="E59" s="821"/>
      <c r="F59" s="821"/>
      <c r="G59" s="822"/>
      <c r="H59" s="49"/>
      <c r="I59" s="50"/>
      <c r="J59" s="51"/>
      <c r="O59" s="11"/>
      <c r="P59" s="11"/>
      <c r="Z59" s="36" t="b">
        <v>0</v>
      </c>
      <c r="AA59" s="30" t="b">
        <v>1</v>
      </c>
      <c r="AB59" s="31" t="b">
        <v>0</v>
      </c>
    </row>
    <row r="60" spans="2:28" ht="25.05" hidden="1" customHeight="1" outlineLevel="2" x14ac:dyDescent="0.35">
      <c r="B60" s="820" t="s">
        <v>786</v>
      </c>
      <c r="C60" s="821"/>
      <c r="D60" s="821"/>
      <c r="E60" s="821"/>
      <c r="F60" s="821"/>
      <c r="G60" s="822"/>
      <c r="H60" s="49"/>
      <c r="I60" s="50"/>
      <c r="J60" s="51"/>
      <c r="O60" s="11"/>
      <c r="P60" s="11"/>
      <c r="Z60" s="36" t="b">
        <v>0</v>
      </c>
      <c r="AA60" s="30" t="b">
        <v>1</v>
      </c>
      <c r="AB60" s="31" t="b">
        <v>0</v>
      </c>
    </row>
    <row r="61" spans="2:28" ht="25.05" hidden="1" customHeight="1" outlineLevel="2" x14ac:dyDescent="0.35">
      <c r="B61" s="835" t="s">
        <v>787</v>
      </c>
      <c r="C61" s="836"/>
      <c r="D61" s="836"/>
      <c r="E61" s="836"/>
      <c r="F61" s="836"/>
      <c r="G61" s="837"/>
      <c r="H61" s="52"/>
      <c r="I61" s="53"/>
      <c r="J61" s="54"/>
      <c r="O61" s="11"/>
      <c r="P61" s="11"/>
      <c r="Z61" s="36" t="b">
        <v>1</v>
      </c>
      <c r="AA61" s="30" t="b">
        <v>0</v>
      </c>
      <c r="AB61" s="31" t="b">
        <v>0</v>
      </c>
    </row>
    <row r="62" spans="2:28" ht="25.05" hidden="1" customHeight="1" outlineLevel="2" x14ac:dyDescent="0.35">
      <c r="B62" s="838" t="s">
        <v>44</v>
      </c>
      <c r="C62" s="839"/>
      <c r="D62" s="839"/>
      <c r="E62" s="839"/>
      <c r="F62" s="839"/>
      <c r="G62" s="840"/>
      <c r="H62" s="55">
        <f>COUNTIF(Z52:Z61,TRUE)</f>
        <v>2</v>
      </c>
      <c r="I62" s="55">
        <f>COUNTIF(AA52:AA61,TRUE)</f>
        <v>5</v>
      </c>
      <c r="J62" s="56">
        <f>COUNTIF(AB52:AB61,TRUE)</f>
        <v>3</v>
      </c>
      <c r="O62" s="11"/>
      <c r="P62" s="11"/>
      <c r="Z62" s="38"/>
      <c r="AA62" s="32"/>
      <c r="AB62" s="33"/>
    </row>
    <row r="63" spans="2:28" ht="25.05" hidden="1" customHeight="1" outlineLevel="2" x14ac:dyDescent="0.35">
      <c r="B63" s="641" t="s">
        <v>24</v>
      </c>
      <c r="C63" s="642"/>
      <c r="D63" s="642"/>
      <c r="E63" s="642"/>
      <c r="F63" s="642"/>
      <c r="G63" s="642"/>
      <c r="H63" s="642"/>
      <c r="I63" s="643"/>
      <c r="J63" s="57">
        <f>((H62*0)+(I62*5)+(J62*10))/100</f>
        <v>0.55000000000000004</v>
      </c>
      <c r="L63" s="24"/>
      <c r="M63" s="1"/>
      <c r="N63" s="1"/>
      <c r="O63" s="11"/>
      <c r="P63" s="11"/>
    </row>
    <row r="64" spans="2:28" ht="64.95" customHeight="1" outlineLevel="1" collapsed="1" x14ac:dyDescent="0.35">
      <c r="B64" s="644" t="s">
        <v>788</v>
      </c>
      <c r="C64" s="645"/>
      <c r="D64" s="645"/>
      <c r="E64" s="645"/>
      <c r="F64" s="645"/>
      <c r="G64" s="645"/>
      <c r="H64" s="646"/>
      <c r="I64" s="452" t="s">
        <v>789</v>
      </c>
      <c r="J64" s="451"/>
      <c r="L64" s="11"/>
      <c r="M64" s="11"/>
      <c r="N64" s="11"/>
      <c r="O64" s="11"/>
      <c r="P64" s="11"/>
    </row>
    <row r="65" spans="1:26" ht="25.05" customHeight="1" outlineLevel="1" x14ac:dyDescent="0.35">
      <c r="A65" s="9"/>
      <c r="B65" s="449"/>
      <c r="C65" s="639" t="s">
        <v>790</v>
      </c>
      <c r="D65" s="639"/>
      <c r="E65" s="639"/>
      <c r="F65" s="639"/>
      <c r="G65" s="639"/>
      <c r="H65" s="639"/>
      <c r="I65" s="639"/>
      <c r="J65" s="640"/>
      <c r="M65" s="1"/>
      <c r="N65" s="1"/>
      <c r="O65" s="1"/>
      <c r="P65" s="1"/>
      <c r="Q65" s="1"/>
      <c r="Z65" s="9" t="b">
        <v>1</v>
      </c>
    </row>
    <row r="66" spans="1:26" ht="25.05" customHeight="1" outlineLevel="1" x14ac:dyDescent="0.35">
      <c r="A66" s="9"/>
      <c r="B66" s="449"/>
      <c r="C66" s="639" t="s">
        <v>791</v>
      </c>
      <c r="D66" s="639"/>
      <c r="E66" s="639"/>
      <c r="F66" s="639"/>
      <c r="G66" s="639"/>
      <c r="H66" s="639"/>
      <c r="I66" s="639"/>
      <c r="J66" s="640"/>
      <c r="M66" s="1"/>
      <c r="N66" s="1"/>
      <c r="O66" s="1"/>
      <c r="P66" s="1"/>
      <c r="Q66" s="1"/>
      <c r="Z66" s="9" t="b">
        <v>0</v>
      </c>
    </row>
    <row r="67" spans="1:26" ht="40.049999999999997" customHeight="1" outlineLevel="1" x14ac:dyDescent="0.35">
      <c r="A67" s="9"/>
      <c r="B67" s="449"/>
      <c r="C67" s="639" t="s">
        <v>792</v>
      </c>
      <c r="D67" s="639"/>
      <c r="E67" s="639"/>
      <c r="F67" s="639"/>
      <c r="G67" s="639"/>
      <c r="H67" s="639"/>
      <c r="I67" s="639"/>
      <c r="J67" s="640"/>
      <c r="M67" s="1"/>
      <c r="N67" s="1"/>
      <c r="O67" s="1"/>
      <c r="P67" s="1"/>
      <c r="Q67" s="1"/>
      <c r="Z67" s="9" t="b">
        <v>1</v>
      </c>
    </row>
    <row r="68" spans="1:26" ht="25.05" customHeight="1" outlineLevel="1" x14ac:dyDescent="0.35">
      <c r="A68" s="9"/>
      <c r="B68" s="449"/>
      <c r="C68" s="639" t="s">
        <v>793</v>
      </c>
      <c r="D68" s="639"/>
      <c r="E68" s="639"/>
      <c r="F68" s="639"/>
      <c r="G68" s="639"/>
      <c r="H68" s="639"/>
      <c r="I68" s="639"/>
      <c r="J68" s="640"/>
      <c r="M68" s="1"/>
      <c r="N68" s="1"/>
      <c r="O68" s="1"/>
      <c r="P68" s="1"/>
      <c r="Q68" s="1"/>
      <c r="Z68" s="9" t="b">
        <v>1</v>
      </c>
    </row>
    <row r="69" spans="1:26" ht="25.05" customHeight="1" outlineLevel="1" x14ac:dyDescent="0.35">
      <c r="A69" s="9"/>
      <c r="B69" s="449"/>
      <c r="C69" s="639" t="s">
        <v>794</v>
      </c>
      <c r="D69" s="639"/>
      <c r="E69" s="639"/>
      <c r="F69" s="639"/>
      <c r="G69" s="639"/>
      <c r="H69" s="639"/>
      <c r="I69" s="639"/>
      <c r="J69" s="640"/>
      <c r="M69" s="1"/>
      <c r="N69" s="1"/>
      <c r="O69" s="1"/>
      <c r="P69" s="1"/>
      <c r="Q69" s="1"/>
      <c r="Z69" s="9" t="b">
        <v>1</v>
      </c>
    </row>
    <row r="70" spans="1:26" ht="25.05" customHeight="1" outlineLevel="1" x14ac:dyDescent="0.35">
      <c r="A70" s="9"/>
      <c r="B70" s="449"/>
      <c r="C70" s="639" t="s">
        <v>795</v>
      </c>
      <c r="D70" s="639"/>
      <c r="E70" s="639"/>
      <c r="F70" s="639"/>
      <c r="G70" s="639"/>
      <c r="H70" s="639"/>
      <c r="I70" s="639"/>
      <c r="J70" s="640"/>
      <c r="M70" s="1"/>
      <c r="N70" s="1"/>
      <c r="O70" s="1"/>
      <c r="P70" s="1"/>
      <c r="Q70" s="1"/>
      <c r="Z70" s="9" t="b">
        <v>1</v>
      </c>
    </row>
    <row r="71" spans="1:26" ht="19.95" customHeight="1" outlineLevel="1" x14ac:dyDescent="0.35">
      <c r="A71" s="9"/>
      <c r="B71" s="450">
        <f>COUNTIF(Z65:Z70,TRUE)/6</f>
        <v>0.83333333333333337</v>
      </c>
      <c r="C71" s="453" t="s">
        <v>796</v>
      </c>
      <c r="D71" s="453"/>
      <c r="E71" s="453"/>
      <c r="F71" s="453"/>
      <c r="G71" s="453"/>
      <c r="H71" s="453"/>
      <c r="I71" s="453"/>
      <c r="J71" s="454"/>
      <c r="M71" s="1"/>
      <c r="N71" s="1"/>
      <c r="O71" s="1"/>
      <c r="P71" s="1"/>
      <c r="Q71" s="1"/>
    </row>
    <row r="72" spans="1:26" x14ac:dyDescent="0.35">
      <c r="C72" s="2"/>
      <c r="D72" s="2"/>
      <c r="E72" s="2"/>
      <c r="F72" s="2"/>
      <c r="G72" s="3"/>
      <c r="H72" s="25"/>
      <c r="I72" s="3"/>
      <c r="J72" s="3"/>
      <c r="K72" s="11"/>
      <c r="L72" s="11"/>
      <c r="M72" s="11"/>
      <c r="N72" s="11"/>
      <c r="O72" s="11"/>
      <c r="P72" s="11"/>
    </row>
    <row r="73" spans="1:26" ht="49.95" customHeight="1" x14ac:dyDescent="0.35">
      <c r="A73" s="9"/>
      <c r="B73" s="652" t="s">
        <v>668</v>
      </c>
      <c r="C73" s="653"/>
      <c r="D73" s="653"/>
      <c r="E73" s="653"/>
      <c r="F73" s="653"/>
      <c r="G73" s="653"/>
      <c r="H73" s="654"/>
      <c r="I73" s="23" t="s">
        <v>667</v>
      </c>
      <c r="J73" s="14">
        <f>$G$83</f>
        <v>0.11214953271028037</v>
      </c>
      <c r="K73" s="1"/>
      <c r="L73" s="1"/>
      <c r="M73" s="1"/>
      <c r="N73" s="1"/>
      <c r="O73" s="1"/>
      <c r="P73" s="1"/>
    </row>
    <row r="74" spans="1:26" ht="45.45" hidden="1" customHeight="1" outlineLevel="1" x14ac:dyDescent="0.35">
      <c r="A74" s="9"/>
      <c r="B74" s="647" t="s">
        <v>666</v>
      </c>
      <c r="C74" s="648"/>
      <c r="D74" s="648"/>
      <c r="E74" s="648"/>
      <c r="F74" s="648"/>
      <c r="G74" s="648"/>
      <c r="H74" s="648"/>
      <c r="I74" s="648"/>
      <c r="J74" s="649"/>
      <c r="K74" s="1"/>
      <c r="L74" s="1"/>
      <c r="M74" s="1"/>
      <c r="N74" s="1"/>
      <c r="O74" s="1"/>
      <c r="P74" s="1"/>
    </row>
    <row r="75" spans="1:26" ht="25.05" hidden="1" customHeight="1" outlineLevel="1" x14ac:dyDescent="0.35">
      <c r="A75" s="10"/>
      <c r="B75" s="636" t="s">
        <v>222</v>
      </c>
      <c r="C75" s="637"/>
      <c r="D75" s="637"/>
      <c r="E75" s="637"/>
      <c r="F75" s="637"/>
      <c r="G75" s="637"/>
      <c r="H75" s="637"/>
      <c r="I75" s="637"/>
      <c r="J75" s="638"/>
      <c r="K75" s="1"/>
      <c r="L75" s="1"/>
      <c r="M75" s="1"/>
      <c r="N75" s="6"/>
      <c r="O75" s="6"/>
    </row>
    <row r="76" spans="1:26" ht="35.549999999999997" hidden="1" customHeight="1" outlineLevel="1" x14ac:dyDescent="0.35">
      <c r="A76" s="9"/>
      <c r="B76" s="847" t="s">
        <v>665</v>
      </c>
      <c r="C76" s="848"/>
      <c r="D76" s="849"/>
      <c r="E76" s="334" t="s">
        <v>664</v>
      </c>
      <c r="F76" s="334" t="s">
        <v>663</v>
      </c>
      <c r="G76" s="335" t="s">
        <v>662</v>
      </c>
      <c r="H76" s="828" t="s">
        <v>5</v>
      </c>
      <c r="I76" s="829"/>
      <c r="J76" s="830"/>
      <c r="K76" s="1"/>
      <c r="L76" s="1"/>
      <c r="M76" s="1"/>
      <c r="N76" s="1"/>
      <c r="O76" s="1"/>
      <c r="P76" s="1"/>
    </row>
    <row r="77" spans="1:26" ht="19.95" hidden="1" customHeight="1" outlineLevel="1" x14ac:dyDescent="0.35">
      <c r="A77" s="9"/>
      <c r="B77" s="624" t="str">
        <f>'Company Profile'!$B$24</f>
        <v>Jonesville plant</v>
      </c>
      <c r="C77" s="625"/>
      <c r="D77" s="635"/>
      <c r="E77" s="279">
        <v>200</v>
      </c>
      <c r="F77" s="279">
        <v>10000</v>
      </c>
      <c r="G77" s="329">
        <f>IF(F77&lt;E77,"Error",IF(F77="","",E77/F77))</f>
        <v>0.02</v>
      </c>
      <c r="H77" s="831" t="s">
        <v>661</v>
      </c>
      <c r="I77" s="832"/>
      <c r="J77" s="833"/>
      <c r="K77" s="1"/>
      <c r="L77" s="1"/>
      <c r="M77" s="1"/>
      <c r="N77" s="1"/>
      <c r="O77" s="1"/>
      <c r="P77" s="1"/>
    </row>
    <row r="78" spans="1:26" ht="19.95" hidden="1" customHeight="1" outlineLevel="1" x14ac:dyDescent="0.35">
      <c r="A78" s="9"/>
      <c r="B78" s="607" t="str">
        <f>'Company Profile'!$B$25</f>
        <v>Smithtown warehouse</v>
      </c>
      <c r="C78" s="608" t="str">
        <f>IF('[2]Site information'!C58="","",'[2]Site information'!C58)</f>
        <v/>
      </c>
      <c r="D78" s="609" t="str">
        <f>IF('[2]Site information'!D58="","",'[2]Site information'!D58)</f>
        <v/>
      </c>
      <c r="E78" s="278">
        <v>800</v>
      </c>
      <c r="F78" s="278">
        <v>1000</v>
      </c>
      <c r="G78" s="328">
        <f>IF(F78&lt;E78,"Error",IF(F78="","",E78/F78))</f>
        <v>0.8</v>
      </c>
      <c r="H78" s="670" t="s">
        <v>660</v>
      </c>
      <c r="I78" s="834"/>
      <c r="J78" s="671"/>
      <c r="K78" s="1"/>
      <c r="L78" s="1"/>
      <c r="M78" s="1"/>
      <c r="N78" s="1"/>
      <c r="O78" s="1"/>
      <c r="P78" s="1"/>
    </row>
    <row r="79" spans="1:26" ht="19.95" hidden="1" customHeight="1" outlineLevel="1" x14ac:dyDescent="0.35">
      <c r="A79" s="9"/>
      <c r="B79" s="607" t="str">
        <f>'Company Profile'!$B$26</f>
        <v>Brocktown office</v>
      </c>
      <c r="C79" s="608" t="str">
        <f>IF('[2]Site information'!C59="","",'[2]Site information'!C59)</f>
        <v/>
      </c>
      <c r="D79" s="609" t="str">
        <f>IF('[2]Site information'!D59="","",'[2]Site information'!D59)</f>
        <v/>
      </c>
      <c r="E79" s="278">
        <v>1000</v>
      </c>
      <c r="F79" s="278">
        <v>10000</v>
      </c>
      <c r="G79" s="328">
        <f>IF(F79&lt;E79,"Error",IF(F79="","",E79/F79))</f>
        <v>0.1</v>
      </c>
      <c r="H79" s="670" t="s">
        <v>659</v>
      </c>
      <c r="I79" s="834" t="s">
        <v>658</v>
      </c>
      <c r="J79" s="671"/>
      <c r="K79" s="1"/>
      <c r="L79" s="1"/>
      <c r="M79" s="1"/>
      <c r="N79" s="1"/>
      <c r="O79" s="1"/>
      <c r="P79" s="1"/>
    </row>
    <row r="80" spans="1:26" ht="19.95" hidden="1" customHeight="1" outlineLevel="1" x14ac:dyDescent="0.35">
      <c r="A80" s="9"/>
      <c r="B80" s="607" t="str">
        <f>'Company Profile'!$B$27</f>
        <v>Edenville office</v>
      </c>
      <c r="C80" s="608"/>
      <c r="D80" s="609"/>
      <c r="E80" s="278">
        <v>200</v>
      </c>
      <c r="F80" s="278">
        <v>200</v>
      </c>
      <c r="G80" s="327">
        <f>IF(F80&lt;E80,"Error",IF(F80="","",E80/F80))</f>
        <v>1</v>
      </c>
      <c r="H80" s="670" t="s">
        <v>659</v>
      </c>
      <c r="I80" s="834" t="s">
        <v>658</v>
      </c>
      <c r="J80" s="671"/>
      <c r="K80" s="1"/>
      <c r="L80" s="1"/>
      <c r="M80" s="1"/>
      <c r="N80" s="1"/>
      <c r="O80" s="1"/>
      <c r="P80" s="1"/>
    </row>
    <row r="81" spans="1:18" ht="19.95" hidden="1" customHeight="1" outlineLevel="1" x14ac:dyDescent="0.35">
      <c r="A81" s="733"/>
      <c r="B81" s="607" t="str">
        <f>'Company Profile'!$B$28</f>
        <v>HQ</v>
      </c>
      <c r="C81" s="608"/>
      <c r="D81" s="609"/>
      <c r="E81" s="278">
        <v>200</v>
      </c>
      <c r="F81" s="278">
        <v>200</v>
      </c>
      <c r="G81" s="327">
        <f>IF(F81&lt;E81,"Error",IF(F81="","",E81/F81))</f>
        <v>1</v>
      </c>
      <c r="H81" s="718" t="s">
        <v>659</v>
      </c>
      <c r="I81" s="846" t="s">
        <v>658</v>
      </c>
      <c r="J81" s="719"/>
      <c r="K81" s="1"/>
      <c r="L81" s="1"/>
      <c r="M81" s="1"/>
      <c r="N81" s="1"/>
      <c r="O81" s="1"/>
      <c r="P81" s="1"/>
    </row>
    <row r="82" spans="1:18" s="1" customFormat="1" ht="19.95" hidden="1" customHeight="1" outlineLevel="1" x14ac:dyDescent="0.35">
      <c r="A82" s="733"/>
      <c r="B82" s="748" t="s">
        <v>657</v>
      </c>
      <c r="C82" s="749"/>
      <c r="D82" s="749"/>
      <c r="E82" s="749"/>
      <c r="F82" s="749"/>
      <c r="G82" s="749"/>
      <c r="H82" s="750"/>
      <c r="I82" s="750"/>
      <c r="J82" s="751"/>
    </row>
    <row r="83" spans="1:18" s="1" customFormat="1" ht="19.95" hidden="1" customHeight="1" outlineLevel="1" x14ac:dyDescent="0.35">
      <c r="A83" s="733"/>
      <c r="F83" s="326">
        <f>SUM(F77:F81)</f>
        <v>21400</v>
      </c>
      <c r="G83" s="325">
        <f>IF(SUM(E77:E81)&gt;SUM(F77:F81),"Error",SUMPRODUCT(F77:F81,G77:G81)/SUM(F77:F81))</f>
        <v>0.11214953271028037</v>
      </c>
    </row>
    <row r="84" spans="1:18" ht="15" customHeight="1" collapsed="1" x14ac:dyDescent="0.35">
      <c r="G84" s="7"/>
      <c r="H84" s="7"/>
      <c r="I84" s="7"/>
      <c r="J84" s="7"/>
      <c r="K84" s="7"/>
      <c r="L84" s="7"/>
      <c r="M84" s="7"/>
    </row>
    <row r="85" spans="1:18" ht="25.05" customHeight="1" x14ac:dyDescent="0.35">
      <c r="A85" s="9"/>
      <c r="B85" s="739" t="s">
        <v>656</v>
      </c>
      <c r="C85" s="740"/>
      <c r="D85" s="740"/>
      <c r="E85" s="740"/>
      <c r="F85" s="741"/>
      <c r="G85" s="331" t="s">
        <v>655</v>
      </c>
      <c r="H85" s="289">
        <f>$M$97</f>
        <v>0.88811188811188813</v>
      </c>
      <c r="I85" s="605" t="s">
        <v>654</v>
      </c>
      <c r="J85" s="705">
        <f>((H85*L97)+(H86*O97))/(L97+O97)</f>
        <v>0.78169014084507038</v>
      </c>
      <c r="K85" s="1"/>
      <c r="L85" s="1"/>
      <c r="M85" s="1"/>
      <c r="N85" s="1"/>
      <c r="O85" s="1"/>
      <c r="P85" s="1"/>
    </row>
    <row r="86" spans="1:18" ht="25.05" customHeight="1" x14ac:dyDescent="0.35">
      <c r="A86" s="9"/>
      <c r="B86" s="652"/>
      <c r="C86" s="653"/>
      <c r="D86" s="653"/>
      <c r="E86" s="653"/>
      <c r="F86" s="654"/>
      <c r="G86" s="332" t="s">
        <v>653</v>
      </c>
      <c r="H86" s="289">
        <f>$P$97</f>
        <v>0.67375886524822692</v>
      </c>
      <c r="I86" s="606"/>
      <c r="J86" s="706"/>
      <c r="K86" s="1"/>
      <c r="L86" s="1"/>
      <c r="M86" s="1"/>
      <c r="N86" s="1"/>
      <c r="O86" s="1"/>
      <c r="P86" s="1"/>
    </row>
    <row r="87" spans="1:18" ht="121.95" hidden="1" customHeight="1" outlineLevel="1" x14ac:dyDescent="0.35">
      <c r="A87" s="9"/>
      <c r="B87" s="528" t="s">
        <v>652</v>
      </c>
      <c r="C87" s="527"/>
      <c r="D87" s="527"/>
      <c r="E87" s="527"/>
      <c r="F87" s="527"/>
      <c r="G87" s="527"/>
      <c r="H87" s="527"/>
      <c r="I87" s="527"/>
      <c r="J87" s="565"/>
      <c r="K87" s="1"/>
      <c r="L87" s="1"/>
      <c r="M87" s="1"/>
      <c r="N87" s="1"/>
      <c r="O87" s="1"/>
      <c r="P87" s="1"/>
    </row>
    <row r="88" spans="1:18" ht="121.95" hidden="1" customHeight="1" outlineLevel="1" x14ac:dyDescent="0.35">
      <c r="A88" s="9"/>
      <c r="B88" s="528"/>
      <c r="C88" s="527"/>
      <c r="D88" s="527"/>
      <c r="E88" s="527"/>
      <c r="F88" s="527"/>
      <c r="G88" s="527"/>
      <c r="H88" s="527"/>
      <c r="I88" s="527"/>
      <c r="J88" s="565"/>
      <c r="K88" s="1"/>
      <c r="L88" s="1"/>
      <c r="M88" s="1"/>
      <c r="N88" s="1"/>
      <c r="O88" s="1"/>
      <c r="P88" s="1"/>
    </row>
    <row r="89" spans="1:18" ht="25.05" hidden="1" customHeight="1" outlineLevel="1" x14ac:dyDescent="0.35">
      <c r="A89" s="10"/>
      <c r="B89" s="636" t="s">
        <v>222</v>
      </c>
      <c r="C89" s="637"/>
      <c r="D89" s="637"/>
      <c r="E89" s="637"/>
      <c r="F89" s="637"/>
      <c r="G89" s="637"/>
      <c r="H89" s="637"/>
      <c r="I89" s="637"/>
      <c r="J89" s="638"/>
      <c r="K89" s="1"/>
      <c r="L89" s="1"/>
      <c r="M89" s="1"/>
      <c r="N89" s="6"/>
      <c r="O89" s="6"/>
    </row>
    <row r="90" spans="1:18" ht="25.5" hidden="1" customHeight="1" outlineLevel="1" x14ac:dyDescent="0.35">
      <c r="A90" s="9"/>
      <c r="B90" s="662" t="s">
        <v>423</v>
      </c>
      <c r="C90" s="745"/>
      <c r="D90" s="663"/>
      <c r="E90" s="668" t="s">
        <v>651</v>
      </c>
      <c r="F90" s="763"/>
      <c r="G90" s="763"/>
      <c r="H90" s="763"/>
      <c r="I90" s="763"/>
      <c r="J90" s="763"/>
      <c r="K90" s="763"/>
      <c r="L90" s="763"/>
      <c r="M90" s="763"/>
      <c r="N90" s="668" t="s">
        <v>650</v>
      </c>
      <c r="O90" s="763"/>
      <c r="P90" s="669"/>
      <c r="Q90" s="662" t="s">
        <v>649</v>
      </c>
      <c r="R90" s="663"/>
    </row>
    <row r="91" spans="1:18" ht="53.55" hidden="1" customHeight="1" outlineLevel="1" x14ac:dyDescent="0.35">
      <c r="A91" s="9"/>
      <c r="B91" s="666"/>
      <c r="C91" s="746"/>
      <c r="D91" s="667"/>
      <c r="E91" s="336" t="s">
        <v>648</v>
      </c>
      <c r="F91" s="336" t="s">
        <v>647</v>
      </c>
      <c r="G91" s="336" t="s">
        <v>646</v>
      </c>
      <c r="H91" s="336" t="s">
        <v>645</v>
      </c>
      <c r="I91" s="336" t="s">
        <v>644</v>
      </c>
      <c r="J91" s="336" t="s">
        <v>643</v>
      </c>
      <c r="K91" s="336" t="s">
        <v>642</v>
      </c>
      <c r="L91" s="336" t="s">
        <v>641</v>
      </c>
      <c r="M91" s="337" t="s">
        <v>640</v>
      </c>
      <c r="N91" s="338" t="s">
        <v>639</v>
      </c>
      <c r="O91" s="336" t="s">
        <v>638</v>
      </c>
      <c r="P91" s="339" t="s">
        <v>637</v>
      </c>
      <c r="Q91" s="666"/>
      <c r="R91" s="667"/>
    </row>
    <row r="92" spans="1:18" ht="19.95" hidden="1" customHeight="1" outlineLevel="1" x14ac:dyDescent="0.35">
      <c r="A92" s="9"/>
      <c r="B92" s="624" t="str">
        <f>'Company Profile'!$B$24</f>
        <v>Jonesville plant</v>
      </c>
      <c r="C92" s="625"/>
      <c r="D92" s="635"/>
      <c r="E92" s="279">
        <v>5000</v>
      </c>
      <c r="F92" s="279">
        <v>200</v>
      </c>
      <c r="G92" s="279">
        <v>1000</v>
      </c>
      <c r="H92" s="279">
        <v>0</v>
      </c>
      <c r="I92" s="279">
        <v>500</v>
      </c>
      <c r="J92" s="324">
        <f>IF(E92="","",IF(F92&gt;E92,0,E92-F92))</f>
        <v>4800</v>
      </c>
      <c r="K92" s="324">
        <f>IF(G92="","",IF(G92-H92-I92&lt;0,0,G92-H92-I92))</f>
        <v>500</v>
      </c>
      <c r="L92" s="324">
        <f>IF(AND(J92="",K92=""),"",J92+K92)</f>
        <v>5300</v>
      </c>
      <c r="M92" s="323">
        <f>IF(E92&lt;F92,"",IF(G92&lt;H92,"",IF((E92-F92)=0,0,IF((G92-H92)&lt;=I92,1,IF(AND(E92="",G92=""),"",(E92-F92)/(E92-F92-I92+G92-H92))))))</f>
        <v>0.90566037735849059</v>
      </c>
      <c r="N92" s="274">
        <v>3000</v>
      </c>
      <c r="O92" s="279">
        <v>5000</v>
      </c>
      <c r="P92" s="322">
        <f>IF(N92="","",IF(O92="","",IF(O92&lt;N92,"Error",N92/O92)))</f>
        <v>0.6</v>
      </c>
      <c r="Q92" s="321" t="s">
        <v>636</v>
      </c>
      <c r="R92" s="320"/>
    </row>
    <row r="93" spans="1:18" ht="19.95" hidden="1" customHeight="1" outlineLevel="1" x14ac:dyDescent="0.35">
      <c r="A93" s="9"/>
      <c r="B93" s="607" t="str">
        <f>'Company Profile'!$B$25</f>
        <v>Smithtown warehouse</v>
      </c>
      <c r="C93" s="608" t="str">
        <f>IF('[2]Site information'!C73="","",'[2]Site information'!C73)</f>
        <v/>
      </c>
      <c r="D93" s="609" t="str">
        <f>IF('[2]Site information'!D73="","",'[2]Site information'!D73)</f>
        <v/>
      </c>
      <c r="E93" s="278">
        <v>1000</v>
      </c>
      <c r="F93" s="278">
        <v>50</v>
      </c>
      <c r="G93" s="278">
        <v>100</v>
      </c>
      <c r="H93" s="278">
        <v>100</v>
      </c>
      <c r="I93" s="278">
        <v>0</v>
      </c>
      <c r="J93" s="319">
        <f>IF(E93="","",IF(F93&gt;E93,0,E93-F93))</f>
        <v>950</v>
      </c>
      <c r="K93" s="319">
        <f>IF(G93="","",IF(G93-H93-I93&lt;0,0,G93-H93-I93))</f>
        <v>0</v>
      </c>
      <c r="L93" s="319">
        <f>IF(AND(J93="",K93=""),"",J93+K93)</f>
        <v>950</v>
      </c>
      <c r="M93" s="314">
        <f>IF(E93&lt;F93,"",IF(G93&lt;H93,"",IF((E93-F93)=0,0,IF((G93-H93)&lt;=I93,1,IF(AND(E93="",G93=""),"",(E93-F93)/(E93-F93-I93+G93-H93))))))</f>
        <v>1</v>
      </c>
      <c r="N93" s="269">
        <v>800</v>
      </c>
      <c r="O93" s="278">
        <v>1000</v>
      </c>
      <c r="P93" s="318">
        <f>IF(N93="","",IF(O93="","",IF(O93&lt;N93,"Error",N93/O93)))</f>
        <v>0.8</v>
      </c>
      <c r="Q93" s="317"/>
      <c r="R93" s="316"/>
    </row>
    <row r="94" spans="1:18" ht="19.95" hidden="1" customHeight="1" outlineLevel="1" x14ac:dyDescent="0.35">
      <c r="A94" s="9"/>
      <c r="B94" s="607" t="str">
        <f>'Company Profile'!$B$26</f>
        <v>Brocktown office</v>
      </c>
      <c r="C94" s="608" t="str">
        <f>IF('[2]Site information'!C74="","",'[2]Site information'!C74)</f>
        <v/>
      </c>
      <c r="D94" s="609" t="str">
        <f>IF('[2]Site information'!D74="","",'[2]Site information'!D74)</f>
        <v/>
      </c>
      <c r="E94" s="278">
        <v>100</v>
      </c>
      <c r="F94" s="278">
        <v>50</v>
      </c>
      <c r="G94" s="278">
        <v>200</v>
      </c>
      <c r="H94" s="278">
        <v>100</v>
      </c>
      <c r="I94" s="278">
        <v>0</v>
      </c>
      <c r="J94" s="319">
        <f>IF(E94="","",IF(F94&gt;E94,0,E94-F94))</f>
        <v>50</v>
      </c>
      <c r="K94" s="319">
        <f>IF(G94="","",IF(G94-H94-I94&lt;0,0,G94-H94-I94))</f>
        <v>100</v>
      </c>
      <c r="L94" s="319">
        <f>IF(AND(J94="",K94=""),"",J94+K94)</f>
        <v>150</v>
      </c>
      <c r="M94" s="314">
        <f>IF(E94&lt;F94,"",IF(G94&lt;H94,"",IF((E94-F94)=0,0,IF((G94-H94)&lt;=I94,1,IF(AND(E94="",G94=""),"",(E94-F94)/(E94-F94-I94+G94-H94))))))</f>
        <v>0.33333333333333331</v>
      </c>
      <c r="N94" s="269">
        <v>300</v>
      </c>
      <c r="O94" s="278">
        <v>300</v>
      </c>
      <c r="P94" s="318">
        <f>IF(N94="","",IF(O94="","",IF(O94&lt;N94,"Error",N94/O94)))</f>
        <v>1</v>
      </c>
      <c r="Q94" s="317"/>
      <c r="R94" s="316"/>
    </row>
    <row r="95" spans="1:18" ht="19.95" hidden="1" customHeight="1" outlineLevel="1" x14ac:dyDescent="0.35">
      <c r="A95" s="9"/>
      <c r="B95" s="607" t="str">
        <f>'Company Profile'!$B$27</f>
        <v>Edenville office</v>
      </c>
      <c r="C95" s="608"/>
      <c r="D95" s="609"/>
      <c r="E95" s="278">
        <v>100</v>
      </c>
      <c r="F95" s="278">
        <v>50</v>
      </c>
      <c r="G95" s="278">
        <v>200</v>
      </c>
      <c r="H95" s="278">
        <v>0</v>
      </c>
      <c r="I95" s="278">
        <v>0</v>
      </c>
      <c r="J95" s="319">
        <f>IF(E95="","",IF(F95&gt;E95,0,E95-F95))</f>
        <v>50</v>
      </c>
      <c r="K95" s="319">
        <f>IF(G95="","",IF(G95-H95-I95&lt;0,0,G95-H95-I95))</f>
        <v>200</v>
      </c>
      <c r="L95" s="319">
        <f>IF(AND(J95="",K95=""),"",J95+K95)</f>
        <v>250</v>
      </c>
      <c r="M95" s="314">
        <f>IF(E95&lt;F95,"",IF(G95&lt;H95,"",IF((E95-F95)=0,0,IF((G95-H95)&lt;=I95,1,IF(AND(E95="",G95=""),"",(E95-F95)/(E95-F95-I95+G95-H95))))))</f>
        <v>0.2</v>
      </c>
      <c r="N95" s="269">
        <v>300</v>
      </c>
      <c r="O95" s="278">
        <v>300</v>
      </c>
      <c r="P95" s="318">
        <f>IF(N95="","",IF(O95="","",IF(O95&lt;N95,"Error",N95/O95)))</f>
        <v>1</v>
      </c>
      <c r="Q95" s="317"/>
      <c r="R95" s="316"/>
    </row>
    <row r="96" spans="1:18" ht="19.95" hidden="1" customHeight="1" outlineLevel="1" x14ac:dyDescent="0.35">
      <c r="A96" s="733"/>
      <c r="B96" s="607" t="str">
        <f>'Company Profile'!$B$28</f>
        <v>HQ</v>
      </c>
      <c r="C96" s="608"/>
      <c r="D96" s="609"/>
      <c r="E96" s="276">
        <v>500</v>
      </c>
      <c r="F96" s="276">
        <v>0</v>
      </c>
      <c r="G96" s="276">
        <v>0</v>
      </c>
      <c r="H96" s="276">
        <v>0</v>
      </c>
      <c r="I96" s="276">
        <v>0</v>
      </c>
      <c r="J96" s="315">
        <f>IF(E96="","",IF(F96&gt;E96,0,E96-F96))</f>
        <v>500</v>
      </c>
      <c r="K96" s="315">
        <f>IF(G96="","",IF(G96-H96-I96&lt;0,0,G96-H96-I96))</f>
        <v>0</v>
      </c>
      <c r="L96" s="315">
        <f>IF(AND(J96="",K96=""),"",J96+K96)</f>
        <v>500</v>
      </c>
      <c r="M96" s="314">
        <f>IF(E96&lt;F96,"",IF(G96&lt;H96,"",IF((E96-F96)=0,0,IF((G96-H96)&lt;=I96,1,IF(AND(E96="",G96=""),"",(E96-F96)/(E96-F96-I96+G96-H96))))))</f>
        <v>1</v>
      </c>
      <c r="N96" s="264">
        <v>350</v>
      </c>
      <c r="O96" s="276">
        <v>450</v>
      </c>
      <c r="P96" s="313">
        <f>IF(N96="","",IF(O96="","",IF(O96&lt;N96,"Error",N96/O96)))</f>
        <v>0.77777777777777779</v>
      </c>
      <c r="Q96" s="312" t="s">
        <v>635</v>
      </c>
      <c r="R96" s="311"/>
    </row>
    <row r="97" spans="1:25" s="1" customFormat="1" ht="19.95" hidden="1" customHeight="1" outlineLevel="1" x14ac:dyDescent="0.35">
      <c r="A97" s="733"/>
      <c r="B97" s="127" t="s">
        <v>309</v>
      </c>
      <c r="C97" s="126"/>
      <c r="D97" s="126"/>
      <c r="E97" s="4"/>
      <c r="F97" s="4"/>
      <c r="G97" s="4"/>
      <c r="H97" s="4"/>
      <c r="I97" s="4"/>
      <c r="J97" s="283">
        <f>SUM(J92:J96)</f>
        <v>6350</v>
      </c>
      <c r="K97" s="283">
        <f>SUM(K92:K96)</f>
        <v>800</v>
      </c>
      <c r="L97" s="184">
        <f>SUM(L92:L96)</f>
        <v>7150</v>
      </c>
      <c r="M97" s="310">
        <f>IF(L97=0,1,SUMPRODUCT(L92:L96,M92:M96)/SUM(L92:L96))</f>
        <v>0.88811188811188813</v>
      </c>
      <c r="O97" s="184">
        <f>SUM(O92:O96)</f>
        <v>7050</v>
      </c>
      <c r="P97" s="310">
        <f>IF(SUM(N92:N96)&gt;SUM(O92:O96),"Error",SUMPRODUCT(O92:O96,P92:P96)/SUM(O92:O96))</f>
        <v>0.67375886524822692</v>
      </c>
    </row>
    <row r="98" spans="1:25" ht="15" customHeight="1" collapsed="1" x14ac:dyDescent="0.35">
      <c r="G98" s="7"/>
      <c r="H98" s="7"/>
      <c r="I98" s="7"/>
    </row>
    <row r="99" spans="1:25" ht="25.05" customHeight="1" x14ac:dyDescent="0.35">
      <c r="A99" s="9"/>
      <c r="B99" s="739" t="s">
        <v>634</v>
      </c>
      <c r="C99" s="740"/>
      <c r="D99" s="740"/>
      <c r="E99" s="740"/>
      <c r="F99" s="740"/>
      <c r="G99" s="740"/>
      <c r="H99" s="741"/>
      <c r="I99" s="605" t="s">
        <v>633</v>
      </c>
      <c r="J99" s="705">
        <f>$V$111</f>
        <v>1</v>
      </c>
      <c r="K99" s="1"/>
      <c r="L99" s="1"/>
      <c r="M99" s="1"/>
      <c r="N99" s="1"/>
      <c r="O99" s="1"/>
      <c r="P99" s="1"/>
    </row>
    <row r="100" spans="1:25" ht="25.05" customHeight="1" x14ac:dyDescent="0.35">
      <c r="A100" s="9"/>
      <c r="B100" s="652"/>
      <c r="C100" s="653"/>
      <c r="D100" s="653"/>
      <c r="E100" s="653"/>
      <c r="F100" s="653"/>
      <c r="G100" s="653"/>
      <c r="H100" s="654"/>
      <c r="I100" s="606"/>
      <c r="J100" s="706"/>
      <c r="K100" s="1"/>
      <c r="L100" s="1"/>
      <c r="M100" s="1"/>
      <c r="N100" s="1"/>
      <c r="O100" s="1"/>
      <c r="P100" s="1"/>
    </row>
    <row r="101" spans="1:25" ht="108" hidden="1" customHeight="1" outlineLevel="1" x14ac:dyDescent="0.35">
      <c r="A101" s="9"/>
      <c r="B101" s="528" t="s">
        <v>632</v>
      </c>
      <c r="C101" s="527"/>
      <c r="D101" s="527"/>
      <c r="E101" s="527"/>
      <c r="F101" s="527"/>
      <c r="G101" s="527"/>
      <c r="H101" s="527"/>
      <c r="I101" s="527"/>
      <c r="J101" s="565"/>
      <c r="K101" s="1"/>
      <c r="L101" s="1"/>
      <c r="M101" s="1"/>
      <c r="N101" s="1"/>
      <c r="O101" s="1"/>
      <c r="P101" s="1"/>
    </row>
    <row r="102" spans="1:25" ht="85.05" hidden="1" customHeight="1" outlineLevel="1" x14ac:dyDescent="0.35">
      <c r="A102" s="9"/>
      <c r="B102" s="528"/>
      <c r="C102" s="527"/>
      <c r="D102" s="527"/>
      <c r="E102" s="527"/>
      <c r="F102" s="527"/>
      <c r="G102" s="527"/>
      <c r="H102" s="527"/>
      <c r="I102" s="527"/>
      <c r="J102" s="565"/>
      <c r="K102" s="1"/>
      <c r="L102" s="1"/>
      <c r="M102" s="1"/>
      <c r="N102" s="1"/>
      <c r="O102" s="1"/>
      <c r="P102" s="1"/>
    </row>
    <row r="103" spans="1:25" ht="25.05" hidden="1" customHeight="1" outlineLevel="1" x14ac:dyDescent="0.35">
      <c r="A103" s="10"/>
      <c r="B103" s="636" t="s">
        <v>222</v>
      </c>
      <c r="C103" s="637"/>
      <c r="D103" s="637"/>
      <c r="E103" s="637"/>
      <c r="F103" s="637"/>
      <c r="G103" s="637"/>
      <c r="H103" s="637"/>
      <c r="I103" s="637"/>
      <c r="J103" s="638"/>
      <c r="K103" s="1"/>
      <c r="L103" s="1"/>
      <c r="M103" s="1"/>
      <c r="N103" s="6"/>
      <c r="O103" s="6"/>
    </row>
    <row r="104" spans="1:25" ht="25.5" hidden="1" customHeight="1" outlineLevel="1" x14ac:dyDescent="0.35">
      <c r="A104" s="9"/>
      <c r="B104" s="662" t="s">
        <v>631</v>
      </c>
      <c r="C104" s="745"/>
      <c r="D104" s="663"/>
      <c r="E104" s="663" t="s">
        <v>630</v>
      </c>
      <c r="F104" s="761" t="s">
        <v>629</v>
      </c>
      <c r="G104" s="340" t="s">
        <v>628</v>
      </c>
      <c r="H104" s="668" t="s">
        <v>627</v>
      </c>
      <c r="I104" s="763"/>
      <c r="J104" s="763"/>
      <c r="K104" s="763"/>
      <c r="L104" s="763"/>
      <c r="M104" s="763"/>
      <c r="N104" s="668" t="s">
        <v>626</v>
      </c>
      <c r="O104" s="763"/>
      <c r="P104" s="669"/>
      <c r="Q104" s="668" t="s">
        <v>625</v>
      </c>
      <c r="R104" s="763"/>
      <c r="S104" s="763"/>
      <c r="T104" s="763"/>
      <c r="U104" s="669"/>
      <c r="V104" s="677" t="s">
        <v>624</v>
      </c>
      <c r="W104" s="662" t="s">
        <v>623</v>
      </c>
      <c r="X104" s="663"/>
    </row>
    <row r="105" spans="1:25" ht="48" hidden="1" customHeight="1" outlineLevel="1" x14ac:dyDescent="0.35">
      <c r="A105" s="9"/>
      <c r="B105" s="666"/>
      <c r="C105" s="746"/>
      <c r="D105" s="667"/>
      <c r="E105" s="667"/>
      <c r="F105" s="762"/>
      <c r="G105" s="341" t="s">
        <v>622</v>
      </c>
      <c r="H105" s="342" t="s">
        <v>621</v>
      </c>
      <c r="I105" s="336" t="s">
        <v>620</v>
      </c>
      <c r="J105" s="336" t="s">
        <v>619</v>
      </c>
      <c r="K105" s="336" t="s">
        <v>618</v>
      </c>
      <c r="L105" s="336" t="s">
        <v>617</v>
      </c>
      <c r="M105" s="343" t="s">
        <v>616</v>
      </c>
      <c r="N105" s="338" t="s">
        <v>615</v>
      </c>
      <c r="O105" s="336" t="s">
        <v>614</v>
      </c>
      <c r="P105" s="343" t="s">
        <v>609</v>
      </c>
      <c r="Q105" s="338" t="s">
        <v>613</v>
      </c>
      <c r="R105" s="336" t="s">
        <v>612</v>
      </c>
      <c r="S105" s="336" t="s">
        <v>611</v>
      </c>
      <c r="T105" s="336" t="s">
        <v>610</v>
      </c>
      <c r="U105" s="343" t="s">
        <v>609</v>
      </c>
      <c r="V105" s="678"/>
      <c r="W105" s="666"/>
      <c r="X105" s="667"/>
    </row>
    <row r="106" spans="1:25" ht="19.95" hidden="1" customHeight="1" outlineLevel="1" x14ac:dyDescent="0.35">
      <c r="A106" s="9"/>
      <c r="B106" s="747"/>
      <c r="C106" s="747"/>
      <c r="D106" s="747"/>
      <c r="E106" s="309"/>
      <c r="F106" s="308"/>
      <c r="G106" s="308"/>
      <c r="H106" s="307"/>
      <c r="I106" s="305"/>
      <c r="J106" s="305"/>
      <c r="K106" s="305"/>
      <c r="L106" s="305"/>
      <c r="M106" s="304"/>
      <c r="N106" s="306"/>
      <c r="O106" s="305"/>
      <c r="P106" s="304"/>
      <c r="Q106" s="306"/>
      <c r="R106" s="305"/>
      <c r="S106" s="305"/>
      <c r="T106" s="305"/>
      <c r="U106" s="304"/>
      <c r="V106" s="205"/>
      <c r="W106" s="754"/>
      <c r="X106" s="755"/>
    </row>
    <row r="107" spans="1:25" ht="19.95" hidden="1" customHeight="1" outlineLevel="1" x14ac:dyDescent="0.35">
      <c r="A107" s="9"/>
      <c r="B107" s="844" t="s">
        <v>608</v>
      </c>
      <c r="C107" s="844"/>
      <c r="D107" s="844"/>
      <c r="E107" s="190">
        <v>500</v>
      </c>
      <c r="F107" s="303" t="s">
        <v>607</v>
      </c>
      <c r="G107" s="303" t="s">
        <v>606</v>
      </c>
      <c r="H107" s="281" t="s">
        <v>3</v>
      </c>
      <c r="I107" s="277" t="s">
        <v>3</v>
      </c>
      <c r="J107" s="277" t="s">
        <v>3</v>
      </c>
      <c r="K107" s="277" t="s">
        <v>3</v>
      </c>
      <c r="L107" s="277" t="s">
        <v>3</v>
      </c>
      <c r="M107" s="301" t="s">
        <v>3</v>
      </c>
      <c r="N107" s="302"/>
      <c r="O107" s="277"/>
      <c r="P107" s="301"/>
      <c r="Q107" s="302"/>
      <c r="R107" s="277"/>
      <c r="S107" s="277"/>
      <c r="T107" s="277"/>
      <c r="U107" s="301"/>
      <c r="V107" s="171">
        <f>IF(AND($F107="Renewable natural resource",$H107="Yes",$I107="Yes",$J107="Yes",$K107="Yes",$L107="Yes",$M107="Yes"),1,IF(AND($F107="Non-renewable resource",$Q107="Yes",$R107="Yes",$S107="Yes",$T107="Yes",$U107="Yes"),1,IF(AND($F107="Animal",$H107="Yes",$I107="Yes",$J107="Yes",$K107="Yes",$L107="Yes",$M107="Yes",$N107="Yes",$O107="Yes",$P107="Yes"),1,IF($F107="","",0))))</f>
        <v>1</v>
      </c>
      <c r="W107" s="756" t="s">
        <v>605</v>
      </c>
      <c r="X107" s="757"/>
    </row>
    <row r="108" spans="1:25" ht="19.95" hidden="1" customHeight="1" outlineLevel="1" x14ac:dyDescent="0.35">
      <c r="A108" s="9"/>
      <c r="B108" s="844"/>
      <c r="C108" s="844"/>
      <c r="D108" s="844"/>
      <c r="E108" s="190"/>
      <c r="F108" s="303"/>
      <c r="G108" s="303"/>
      <c r="H108" s="281"/>
      <c r="I108" s="277"/>
      <c r="J108" s="277"/>
      <c r="K108" s="277"/>
      <c r="L108" s="277"/>
      <c r="M108" s="301"/>
      <c r="N108" s="302"/>
      <c r="O108" s="277"/>
      <c r="P108" s="301"/>
      <c r="Q108" s="302"/>
      <c r="R108" s="277"/>
      <c r="S108" s="277"/>
      <c r="T108" s="277"/>
      <c r="U108" s="301"/>
      <c r="V108" s="171" t="str">
        <f>IF(AND($F108="Renewable natural resource",$H108="Yes",$I108="Yes",$J108="Yes",$K108="Yes",$L108="Yes",$M108="Yes"),1,IF(AND($F108="Non-renewable resource",$Q108="Yes",$R108="Yes",$S108="Yes",$T108="Yes",$U108="Yes"),1,IF(AND($F108="Animal",$H108="Yes",$I108="Yes",$J108="Yes",$K108="Yes",$L108="Yes",$M108="Yes",$N108="Yes",$O108="Yes",$P108="Yes"),1,IF($F108="","",0))))</f>
        <v/>
      </c>
      <c r="W108" s="756"/>
      <c r="X108" s="757"/>
    </row>
    <row r="109" spans="1:25" ht="19.95" hidden="1" customHeight="1" outlineLevel="1" x14ac:dyDescent="0.35">
      <c r="A109" s="9"/>
      <c r="B109" s="844"/>
      <c r="C109" s="844"/>
      <c r="D109" s="844"/>
      <c r="E109" s="190"/>
      <c r="F109" s="303"/>
      <c r="G109" s="303"/>
      <c r="H109" s="281"/>
      <c r="I109" s="277"/>
      <c r="J109" s="277"/>
      <c r="K109" s="277"/>
      <c r="L109" s="277"/>
      <c r="M109" s="301"/>
      <c r="N109" s="302"/>
      <c r="O109" s="277"/>
      <c r="P109" s="301"/>
      <c r="Q109" s="302"/>
      <c r="R109" s="277"/>
      <c r="S109" s="277"/>
      <c r="T109" s="277"/>
      <c r="U109" s="301"/>
      <c r="V109" s="171" t="str">
        <f>IF(AND($F109="Renewable natural resource",$H109="Yes",$I109="Yes",$J109="Yes",$K109="Yes",$L109="Yes",$M109="Yes"),1,IF(AND($F109="Non-renewable resource",$Q109="Yes",$R109="Yes",$S109="Yes",$T109="Yes",$U109="Yes"),1,IF(AND($F109="Animal",$H109="Yes",$I109="Yes",$J109="Yes",$K109="Yes",$L109="Yes",$M109="Yes",$N109="Yes",$O109="Yes",$P109="Yes"),1,IF($F109="","",0))))</f>
        <v/>
      </c>
      <c r="W109" s="756"/>
      <c r="X109" s="757"/>
    </row>
    <row r="110" spans="1:25" ht="19.95" hidden="1" customHeight="1" outlineLevel="1" x14ac:dyDescent="0.35">
      <c r="A110" s="733"/>
      <c r="B110" s="845"/>
      <c r="C110" s="845"/>
      <c r="D110" s="845"/>
      <c r="E110" s="300"/>
      <c r="F110" s="299"/>
      <c r="G110" s="299"/>
      <c r="H110" s="280"/>
      <c r="I110" s="295"/>
      <c r="J110" s="295"/>
      <c r="K110" s="295"/>
      <c r="L110" s="295"/>
      <c r="M110" s="297"/>
      <c r="N110" s="298"/>
      <c r="O110" s="295"/>
      <c r="P110" s="297"/>
      <c r="Q110" s="298"/>
      <c r="R110" s="295"/>
      <c r="S110" s="295"/>
      <c r="T110" s="295"/>
      <c r="U110" s="297"/>
      <c r="V110" s="213" t="str">
        <f>IF(AND($F110="Renewable natural resource",$H110="Yes",$I110="Yes",$J110="Yes",$K110="Yes",$L110="Yes",$M110="Yes"),1,IF(AND($F110="Non-renewable resource",$Q110="Yes",$R110="Yes",$S110="Yes",$T110="Yes",$U110="Yes"),1,IF(AND($F110="Animal",$H110="Yes",$I110="Yes",$J110="Yes",$K110="Yes",$L110="Yes",$M110="Yes",$N110="Yes",$O110="Yes",$P110="Yes"),1,IF($F110="","",0))))</f>
        <v/>
      </c>
      <c r="W110" s="758"/>
      <c r="X110" s="759"/>
    </row>
    <row r="111" spans="1:25" s="1" customFormat="1" ht="19.95" hidden="1" customHeight="1" outlineLevel="1" x14ac:dyDescent="0.35">
      <c r="A111" s="733"/>
      <c r="B111" s="127" t="s">
        <v>309</v>
      </c>
      <c r="C111" s="126"/>
      <c r="D111" s="126"/>
      <c r="E111" s="294">
        <f>SUM(E106:E110)</f>
        <v>500</v>
      </c>
      <c r="F111" s="4"/>
      <c r="G111" s="4"/>
      <c r="H111" s="4"/>
      <c r="I111" s="4"/>
      <c r="J111" s="4"/>
      <c r="K111" s="4"/>
      <c r="L111" s="4"/>
      <c r="M111" s="4"/>
      <c r="N111" s="4"/>
      <c r="O111" s="4"/>
      <c r="P111" s="4"/>
      <c r="Q111" s="4"/>
      <c r="R111" s="4"/>
      <c r="S111" s="4"/>
      <c r="T111" s="4"/>
      <c r="U111" s="4"/>
      <c r="V111" s="259">
        <f>SUMPRODUCT(V106:V110,E106:E110)/SUM(E106:E110)</f>
        <v>1</v>
      </c>
      <c r="W111" s="760"/>
      <c r="X111" s="760"/>
      <c r="Y111" s="4"/>
    </row>
    <row r="112" spans="1:25" ht="15" customHeight="1" collapsed="1" x14ac:dyDescent="0.35">
      <c r="G112" s="7"/>
      <c r="H112" s="7"/>
      <c r="I112" s="7"/>
    </row>
    <row r="113" spans="1:25" ht="25.05" customHeight="1" x14ac:dyDescent="0.35">
      <c r="A113" s="9"/>
      <c r="B113" s="739" t="s">
        <v>604</v>
      </c>
      <c r="C113" s="740"/>
      <c r="D113" s="740"/>
      <c r="E113" s="740"/>
      <c r="F113" s="740"/>
      <c r="G113" s="740"/>
      <c r="H113" s="741"/>
      <c r="I113" s="605" t="s">
        <v>224</v>
      </c>
      <c r="J113" s="705">
        <f>(N124+N133+N141+N149+N157+N165+N173+N181+N189)/9</f>
        <v>0.58377706780262695</v>
      </c>
      <c r="K113" s="1"/>
      <c r="L113" s="1"/>
      <c r="M113" s="1"/>
      <c r="N113" s="1"/>
      <c r="O113" s="1"/>
      <c r="P113" s="1"/>
    </row>
    <row r="114" spans="1:25" ht="25.05" customHeight="1" x14ac:dyDescent="0.35">
      <c r="A114" s="9"/>
      <c r="B114" s="652"/>
      <c r="C114" s="653"/>
      <c r="D114" s="653"/>
      <c r="E114" s="653"/>
      <c r="F114" s="653"/>
      <c r="G114" s="653"/>
      <c r="H114" s="654"/>
      <c r="I114" s="606"/>
      <c r="J114" s="706"/>
      <c r="K114" s="1"/>
      <c r="L114" s="1"/>
      <c r="M114" s="1"/>
      <c r="N114" s="1"/>
      <c r="O114" s="1"/>
      <c r="P114" s="1"/>
    </row>
    <row r="115" spans="1:25" ht="139.05000000000001" hidden="1" customHeight="1" outlineLevel="1" x14ac:dyDescent="0.35">
      <c r="A115" s="9"/>
      <c r="B115" s="528" t="s">
        <v>603</v>
      </c>
      <c r="C115" s="527"/>
      <c r="D115" s="527"/>
      <c r="E115" s="527"/>
      <c r="F115" s="527"/>
      <c r="G115" s="527"/>
      <c r="H115" s="527"/>
      <c r="I115" s="527"/>
      <c r="J115" s="565"/>
      <c r="K115" s="1"/>
      <c r="L115" s="1"/>
      <c r="M115" s="1"/>
      <c r="N115" s="1"/>
      <c r="O115" s="1"/>
      <c r="P115" s="1"/>
    </row>
    <row r="116" spans="1:25" ht="25.05" hidden="1" customHeight="1" outlineLevel="1" x14ac:dyDescent="0.35">
      <c r="A116" s="10"/>
      <c r="B116" s="636" t="s">
        <v>222</v>
      </c>
      <c r="C116" s="637"/>
      <c r="D116" s="637"/>
      <c r="E116" s="637"/>
      <c r="F116" s="637"/>
      <c r="G116" s="637"/>
      <c r="H116" s="637"/>
      <c r="I116" s="637"/>
      <c r="J116" s="638"/>
      <c r="K116" s="1"/>
      <c r="L116" s="1"/>
      <c r="M116" s="1"/>
      <c r="N116" s="6"/>
      <c r="O116" s="6"/>
    </row>
    <row r="117" spans="1:25" ht="30" hidden="1" customHeight="1" outlineLevel="1" x14ac:dyDescent="0.35">
      <c r="A117" s="9"/>
      <c r="B117" s="685" t="s">
        <v>691</v>
      </c>
      <c r="C117" s="685"/>
      <c r="D117" s="685"/>
      <c r="E117" s="707" t="s">
        <v>602</v>
      </c>
      <c r="F117" s="708"/>
      <c r="G117" s="708"/>
      <c r="H117" s="708"/>
      <c r="I117" s="708"/>
      <c r="J117" s="708"/>
      <c r="K117" s="708"/>
      <c r="L117" s="708"/>
      <c r="M117" s="708"/>
      <c r="N117" s="708"/>
      <c r="O117" s="708"/>
      <c r="P117" s="709"/>
    </row>
    <row r="118" spans="1:25" ht="67.05" hidden="1" customHeight="1" outlineLevel="1" x14ac:dyDescent="0.35">
      <c r="A118" s="9"/>
      <c r="B118" s="683" t="s">
        <v>571</v>
      </c>
      <c r="C118" s="684"/>
      <c r="D118" s="344" t="s">
        <v>570</v>
      </c>
      <c r="E118" s="344" t="s">
        <v>569</v>
      </c>
      <c r="F118" s="345" t="s">
        <v>568</v>
      </c>
      <c r="G118" s="345" t="s">
        <v>219</v>
      </c>
      <c r="H118" s="345" t="s">
        <v>218</v>
      </c>
      <c r="I118" s="345" t="s">
        <v>217</v>
      </c>
      <c r="J118" s="345" t="s">
        <v>216</v>
      </c>
      <c r="K118" s="345" t="s">
        <v>215</v>
      </c>
      <c r="L118" s="345" t="s">
        <v>601</v>
      </c>
      <c r="M118" s="345" t="s">
        <v>566</v>
      </c>
      <c r="N118" s="346" t="s">
        <v>590</v>
      </c>
      <c r="O118" s="737" t="s">
        <v>5</v>
      </c>
      <c r="P118" s="709"/>
    </row>
    <row r="119" spans="1:25" ht="19.95" hidden="1" customHeight="1" outlineLevel="1" x14ac:dyDescent="0.35">
      <c r="A119" s="9"/>
      <c r="B119" s="791" t="s">
        <v>600</v>
      </c>
      <c r="C119" s="792"/>
      <c r="D119" s="143">
        <v>1000000</v>
      </c>
      <c r="E119" s="296" t="s">
        <v>599</v>
      </c>
      <c r="F119" s="136" t="s">
        <v>3</v>
      </c>
      <c r="G119" s="136" t="s">
        <v>3</v>
      </c>
      <c r="H119" s="136" t="s">
        <v>3</v>
      </c>
      <c r="I119" s="136" t="s">
        <v>3</v>
      </c>
      <c r="J119" s="136" t="s">
        <v>3</v>
      </c>
      <c r="K119" s="136" t="s">
        <v>3</v>
      </c>
      <c r="L119" s="136" t="s">
        <v>4</v>
      </c>
      <c r="M119" s="136" t="s">
        <v>3</v>
      </c>
      <c r="N119" s="293">
        <f>IF(AND(F119="Yes",G119="Yes",H119="Yes",I119&lt;&gt;"Yes",J119&lt;&gt;"Yes"),0.25,IF(AND(F119="Yes",G119="Yes",H119="Yes",I119="Yes",J119&lt;&gt;"Yes"),0.5,IF(AND(F119="Yes",G119="Yes",H119="Yes",I119="Yes",J119="Yes"),0.75,0)))+IF(AND(F119="Yes",G119="Yes",H119="Yes",I119="Yes",J119="Yes",E119="Outsourced core function",K119="Yes"),0.25,IF(AND(F119="Yes",G119="Yes",H119="Yes",I119="Yes",J119="Yes",E119="Product input",L119="Yes"),0.25,IF(AND(F119="Yes",G119="Yes",H119="Yes",I119="Yes",J119="Yes",E119="Ancillary spend",M119="Yes"),0.25,0)))</f>
        <v>1</v>
      </c>
      <c r="O119" s="690"/>
      <c r="P119" s="691"/>
    </row>
    <row r="120" spans="1:25" ht="19.95" hidden="1" customHeight="1" outlineLevel="1" x14ac:dyDescent="0.35">
      <c r="A120" s="9"/>
      <c r="B120" s="655" t="s">
        <v>598</v>
      </c>
      <c r="C120" s="656" t="str">
        <f>IF('[2]Site information'!C95="","",'[2]Site information'!C95)</f>
        <v/>
      </c>
      <c r="D120" s="139">
        <v>500000</v>
      </c>
      <c r="E120" s="277" t="s">
        <v>597</v>
      </c>
      <c r="F120" s="134" t="s">
        <v>3</v>
      </c>
      <c r="G120" s="134" t="s">
        <v>3</v>
      </c>
      <c r="H120" s="134" t="s">
        <v>3</v>
      </c>
      <c r="I120" s="134" t="s">
        <v>3</v>
      </c>
      <c r="J120" s="134" t="s">
        <v>3</v>
      </c>
      <c r="K120" s="134" t="s">
        <v>3</v>
      </c>
      <c r="L120" s="134" t="s">
        <v>4</v>
      </c>
      <c r="M120" s="134" t="s">
        <v>3</v>
      </c>
      <c r="N120" s="292">
        <f>IF(AND(F120="Yes",G120="Yes",H120="Yes",I120&lt;&gt;"Yes",J120&lt;&gt;"Yes"),0.25,IF(AND(F120="Yes",G120="Yes",H120="Yes",I120="Yes",J120&lt;&gt;"Yes"),0.5,IF(AND(F120="Yes",G120="Yes",H120="Yes",I120="Yes",J120="Yes"),0.75,0)))+IF(AND(F120="Yes",G120="Yes",H120="Yes",I120="Yes",J120="Yes",E120="Outsourced core function",K120="Yes"),0.25,IF(AND(F120="Yes",G120="Yes",H120="Yes",I120="Yes",J120="Yes",E120="Product input",L120="Yes"),0.25,IF(AND(F120="Yes",G120="Yes",H120="Yes",I120="Yes",J120="Yes",E120="Ancillary spend",M120="Yes"),0.25,0)))</f>
        <v>0.75</v>
      </c>
      <c r="O120" s="688"/>
      <c r="P120" s="689"/>
    </row>
    <row r="121" spans="1:25" ht="19.95" hidden="1" customHeight="1" outlineLevel="1" x14ac:dyDescent="0.35">
      <c r="A121" s="9"/>
      <c r="B121" s="655" t="s">
        <v>596</v>
      </c>
      <c r="C121" s="656" t="str">
        <f>IF('[2]Site information'!C96="","",'[2]Site information'!C96)</f>
        <v/>
      </c>
      <c r="D121" s="139">
        <v>5000</v>
      </c>
      <c r="E121" s="277" t="s">
        <v>594</v>
      </c>
      <c r="F121" s="134" t="s">
        <v>3</v>
      </c>
      <c r="G121" s="134" t="s">
        <v>3</v>
      </c>
      <c r="H121" s="134" t="s">
        <v>3</v>
      </c>
      <c r="I121" s="134" t="s">
        <v>3</v>
      </c>
      <c r="J121" s="134" t="s">
        <v>4</v>
      </c>
      <c r="K121" s="134"/>
      <c r="L121" s="134"/>
      <c r="M121" s="134" t="s">
        <v>3</v>
      </c>
      <c r="N121" s="292">
        <f>IF(AND(F121="Yes",G121="Yes",H121="Yes",I121&lt;&gt;"Yes",J121&lt;&gt;"Yes"),0.25,IF(AND(F121="Yes",G121="Yes",H121="Yes",I121="Yes",J121&lt;&gt;"Yes"),0.5,IF(AND(F121="Yes",G121="Yes",H121="Yes",I121="Yes",J121="Yes"),0.75,0)))+IF(AND(F121="Yes",G121="Yes",H121="Yes",I121="Yes",J121="Yes",E121="Outsourced core function",K121="Yes"),0.25,IF(AND(F121="Yes",G121="Yes",H121="Yes",I121="Yes",J121="Yes",E121="Product input",L121="Yes"),0.25,IF(AND(F121="Yes",G121="Yes",H121="Yes",I121="Yes",J121="Yes",E121="Ancillary spend",M121="Yes"),0.25,0)))</f>
        <v>0.5</v>
      </c>
      <c r="O121" s="688"/>
      <c r="P121" s="689"/>
    </row>
    <row r="122" spans="1:25" ht="19.95" hidden="1" customHeight="1" outlineLevel="1" x14ac:dyDescent="0.35">
      <c r="A122" s="9"/>
      <c r="B122" s="655" t="s">
        <v>595</v>
      </c>
      <c r="C122" s="656"/>
      <c r="D122" s="139">
        <v>20000</v>
      </c>
      <c r="E122" s="277" t="s">
        <v>594</v>
      </c>
      <c r="F122" s="134" t="s">
        <v>4</v>
      </c>
      <c r="G122" s="134" t="s">
        <v>3</v>
      </c>
      <c r="H122" s="134" t="s">
        <v>3</v>
      </c>
      <c r="I122" s="134" t="s">
        <v>3</v>
      </c>
      <c r="J122" s="134" t="s">
        <v>3</v>
      </c>
      <c r="K122" s="134" t="s">
        <v>3</v>
      </c>
      <c r="L122" s="134" t="s">
        <v>4</v>
      </c>
      <c r="M122" s="134" t="s">
        <v>4</v>
      </c>
      <c r="N122" s="292">
        <f>IF(AND(F122="Yes",G122="Yes",H122="Yes",I122&lt;&gt;"Yes",J122&lt;&gt;"Yes"),0.25,IF(AND(F122="Yes",G122="Yes",H122="Yes",I122="Yes",J122&lt;&gt;"Yes"),0.5,IF(AND(F122="Yes",G122="Yes",H122="Yes",I122="Yes",J122="Yes"),0.75,0)))+IF(AND(F122="Yes",G122="Yes",H122="Yes",I122="Yes",J122="Yes",E122="Outsourced core function",K122="Yes"),0.25,IF(AND(F122="Yes",G122="Yes",H122="Yes",I122="Yes",J122="Yes",E122="Product input",L122="Yes"),0.25,IF(AND(F122="Yes",G122="Yes",H122="Yes",I122="Yes",J122="Yes",E122="Ancillary spend",M122="Yes"),0.25,0)))</f>
        <v>0</v>
      </c>
      <c r="O122" s="688"/>
      <c r="P122" s="689"/>
    </row>
    <row r="123" spans="1:25" ht="19.95" hidden="1" customHeight="1" outlineLevel="1" x14ac:dyDescent="0.35">
      <c r="A123" s="733"/>
      <c r="B123" s="657" t="s">
        <v>130</v>
      </c>
      <c r="C123" s="658"/>
      <c r="D123" s="140">
        <v>40000</v>
      </c>
      <c r="E123" s="295" t="s">
        <v>594</v>
      </c>
      <c r="F123" s="130" t="s">
        <v>3</v>
      </c>
      <c r="G123" s="130" t="s">
        <v>3</v>
      </c>
      <c r="H123" s="130" t="s">
        <v>4</v>
      </c>
      <c r="I123" s="130"/>
      <c r="J123" s="130"/>
      <c r="K123" s="130"/>
      <c r="L123" s="130" t="s">
        <v>3</v>
      </c>
      <c r="M123" s="130" t="s">
        <v>3</v>
      </c>
      <c r="N123" s="290">
        <f>IF(AND(F123="Yes",G123="Yes",H123="Yes",I123&lt;&gt;"Yes",J123&lt;&gt;"Yes"),0.25,IF(AND(F123="Yes",G123="Yes",H123="Yes",I123="Yes",J123&lt;&gt;"Yes"),0.5,IF(AND(F123="Yes",G123="Yes",H123="Yes",I123="Yes",J123="Yes"),0.75,0)))+IF(AND(F123="Yes",G123="Yes",H123="Yes",I123="Yes",J123="Yes",E123="Outsourced core function",K123="Yes"),0.25,IF(AND(F123="Yes",G123="Yes",H123="Yes",I123="Yes",J123="Yes",E123="Product input",L123="Yes"),0.25,IF(AND(F123="Yes",G123="Yes",H123="Yes",I123="Yes",J123="Yes",E123="Ancillary spend",M123="Yes"),0.25,0)))</f>
        <v>0</v>
      </c>
      <c r="O123" s="752"/>
      <c r="P123" s="753"/>
    </row>
    <row r="124" spans="1:25" s="1" customFormat="1" ht="19.95" hidden="1" customHeight="1" outlineLevel="1" x14ac:dyDescent="0.35">
      <c r="A124" s="733"/>
      <c r="B124" s="127" t="s">
        <v>148</v>
      </c>
      <c r="C124" s="126"/>
      <c r="D124" s="294">
        <f>SUM(D119:D123)</f>
        <v>1565000</v>
      </c>
      <c r="E124" s="11"/>
      <c r="F124" s="11"/>
      <c r="G124" s="11"/>
      <c r="H124" s="11"/>
      <c r="I124" s="11"/>
      <c r="J124" s="11"/>
      <c r="K124" s="11"/>
      <c r="L124" s="4"/>
      <c r="M124" s="4"/>
      <c r="N124" s="124">
        <f>SUMPRODUCT(D119:D123,N119:N123)/SUM(D119:D123)</f>
        <v>0.88019169329073488</v>
      </c>
      <c r="O124" s="11"/>
      <c r="P124" s="11"/>
      <c r="R124" s="4"/>
      <c r="S124" s="4"/>
      <c r="T124" s="4"/>
      <c r="U124" s="4"/>
      <c r="V124" s="4"/>
      <c r="X124" s="4"/>
      <c r="Y124" s="4"/>
    </row>
    <row r="125" spans="1:25" s="1" customFormat="1" ht="24" hidden="1" customHeight="1" outlineLevel="1" x14ac:dyDescent="0.35">
      <c r="A125" s="733"/>
      <c r="B125" s="659" t="s">
        <v>593</v>
      </c>
      <c r="C125" s="660"/>
      <c r="D125" s="660"/>
      <c r="E125" s="660"/>
      <c r="F125" s="660"/>
      <c r="G125" s="660"/>
      <c r="H125" s="4"/>
      <c r="I125" s="4"/>
      <c r="J125" s="4"/>
      <c r="K125" s="4"/>
      <c r="L125" s="4"/>
      <c r="M125" s="4"/>
      <c r="N125" s="4"/>
      <c r="O125" s="4"/>
      <c r="P125" s="4"/>
      <c r="Q125" s="4"/>
      <c r="R125" s="4"/>
      <c r="S125" s="4"/>
      <c r="T125" s="4"/>
      <c r="U125" s="4"/>
      <c r="V125" s="4"/>
      <c r="X125" s="4"/>
      <c r="Y125" s="4"/>
    </row>
    <row r="126" spans="1:25" ht="30" hidden="1" customHeight="1" outlineLevel="1" x14ac:dyDescent="0.35">
      <c r="A126" s="9"/>
      <c r="B126" s="685" t="s">
        <v>692</v>
      </c>
      <c r="C126" s="685"/>
      <c r="D126" s="685"/>
      <c r="E126" s="707" t="s">
        <v>592</v>
      </c>
      <c r="F126" s="708"/>
      <c r="G126" s="708"/>
      <c r="H126" s="708"/>
      <c r="I126" s="708"/>
      <c r="J126" s="708"/>
      <c r="K126" s="708"/>
      <c r="L126" s="708"/>
      <c r="M126" s="708"/>
      <c r="N126" s="708"/>
      <c r="O126" s="708"/>
      <c r="P126" s="709"/>
    </row>
    <row r="127" spans="1:25" ht="67.05" hidden="1" customHeight="1" outlineLevel="1" x14ac:dyDescent="0.35">
      <c r="A127" s="9"/>
      <c r="B127" s="683" t="s">
        <v>571</v>
      </c>
      <c r="C127" s="684"/>
      <c r="D127" s="344" t="s">
        <v>570</v>
      </c>
      <c r="E127" s="344" t="s">
        <v>569</v>
      </c>
      <c r="F127" s="345" t="s">
        <v>568</v>
      </c>
      <c r="G127" s="345" t="s">
        <v>206</v>
      </c>
      <c r="H127" s="345" t="s">
        <v>205</v>
      </c>
      <c r="I127" s="345" t="s">
        <v>204</v>
      </c>
      <c r="J127" s="345" t="s">
        <v>203</v>
      </c>
      <c r="K127" s="345" t="s">
        <v>202</v>
      </c>
      <c r="L127" s="345" t="s">
        <v>591</v>
      </c>
      <c r="M127" s="345" t="s">
        <v>566</v>
      </c>
      <c r="N127" s="346" t="s">
        <v>590</v>
      </c>
      <c r="O127" s="737" t="s">
        <v>5</v>
      </c>
      <c r="P127" s="709"/>
    </row>
    <row r="128" spans="1:25" ht="19.95" hidden="1" customHeight="1" outlineLevel="1" x14ac:dyDescent="0.35">
      <c r="A128" s="9"/>
      <c r="B128" s="624" t="str">
        <f>$B$119</f>
        <v>Motors</v>
      </c>
      <c r="C128" s="625"/>
      <c r="D128" s="137">
        <f>$D$119</f>
        <v>1000000</v>
      </c>
      <c r="E128" s="291" t="str">
        <f>$E$119</f>
        <v>Outsourced core function</v>
      </c>
      <c r="F128" s="136" t="s">
        <v>3</v>
      </c>
      <c r="G128" s="136" t="s">
        <v>3</v>
      </c>
      <c r="H128" s="136" t="s">
        <v>3</v>
      </c>
      <c r="I128" s="136" t="s">
        <v>3</v>
      </c>
      <c r="J128" s="136" t="s">
        <v>3</v>
      </c>
      <c r="K128" s="136"/>
      <c r="L128" s="136"/>
      <c r="M128" s="136" t="s">
        <v>3</v>
      </c>
      <c r="N128" s="293">
        <f>IF(AND(F128="Yes",G128="Yes",H128="Yes",I128&lt;&gt;"Yes",J128&lt;&gt;"Yes"),0.25,IF(AND(F128="Yes",G128="Yes",H128="Yes",I128="Yes",J128&lt;&gt;"Yes"),0.5,IF(AND(F128="Yes",G128="Yes",H128="Yes",I128="Yes",J128="Yes"),0.75,0)))+IF(AND(F128="Yes",G128="Yes",H128="Yes",I128="Yes",J128="Yes",E128="Outsourced core function",K128="Yes"),0.25,IF(AND(F128="Yes",G128="Yes",H128="Yes",I128="Yes",J128="Yes",E128="Product input",L128="Yes"),0.25,IF(AND(F128="Yes",G128="Yes",H128="Yes",I128="Yes",J128="Yes",E128="Ancillary spend",M128="Yes"),0.25,0)))</f>
        <v>0.75</v>
      </c>
      <c r="O128" s="690"/>
      <c r="P128" s="691"/>
    </row>
    <row r="129" spans="1:25" ht="19.95" hidden="1" customHeight="1" outlineLevel="1" x14ac:dyDescent="0.35">
      <c r="A129" s="9"/>
      <c r="B129" s="607" t="str">
        <f>$B$120</f>
        <v>Frames</v>
      </c>
      <c r="C129" s="608" t="str">
        <f>IF('[2]Site information'!C104="","",'[2]Site information'!C104)</f>
        <v/>
      </c>
      <c r="D129" s="131">
        <f>$D$120</f>
        <v>500000</v>
      </c>
      <c r="E129" s="291" t="str">
        <f>$E$120</f>
        <v>Product input</v>
      </c>
      <c r="F129" s="134" t="s">
        <v>3</v>
      </c>
      <c r="G129" s="134" t="s">
        <v>3</v>
      </c>
      <c r="H129" s="134" t="s">
        <v>3</v>
      </c>
      <c r="I129" s="134"/>
      <c r="J129" s="134"/>
      <c r="K129" s="134"/>
      <c r="L129" s="134"/>
      <c r="M129" s="134" t="s">
        <v>3</v>
      </c>
      <c r="N129" s="292">
        <f>IF(AND(F129="Yes",G129="Yes",H129="Yes",I129&lt;&gt;"Yes",J129&lt;&gt;"Yes"),0.25,IF(AND(F129="Yes",G129="Yes",H129="Yes",I129="Yes",J129&lt;&gt;"Yes"),0.5,IF(AND(F129="Yes",G129="Yes",H129="Yes",I129="Yes",J129="Yes"),0.75,0)))+IF(AND(F129="Yes",G129="Yes",H129="Yes",I129="Yes",J129="Yes",E129="Outsourced core function",K129="Yes"),0.25,IF(AND(F129="Yes",G129="Yes",H129="Yes",I129="Yes",J129="Yes",E129="Product input",L129="Yes"),0.25,IF(AND(F129="Yes",G129="Yes",H129="Yes",I129="Yes",J129="Yes",E129="Ancillary spend",M129="Yes"),0.25,0)))</f>
        <v>0.25</v>
      </c>
      <c r="O129" s="688"/>
      <c r="P129" s="689"/>
    </row>
    <row r="130" spans="1:25" ht="19.95" hidden="1" customHeight="1" outlineLevel="1" x14ac:dyDescent="0.35">
      <c r="A130" s="9"/>
      <c r="B130" s="607" t="str">
        <f>$B$121</f>
        <v>Paper for instruction manuals</v>
      </c>
      <c r="C130" s="608" t="str">
        <f>IF('[2]Site information'!C105="","",'[2]Site information'!C105)</f>
        <v/>
      </c>
      <c r="D130" s="131">
        <f>$D$121</f>
        <v>5000</v>
      </c>
      <c r="E130" s="291" t="str">
        <f>$E$121</f>
        <v>Ancillary spend</v>
      </c>
      <c r="F130" s="134" t="s">
        <v>3</v>
      </c>
      <c r="G130" s="134" t="s">
        <v>3</v>
      </c>
      <c r="H130" s="134" t="s">
        <v>3</v>
      </c>
      <c r="I130" s="134" t="s">
        <v>3</v>
      </c>
      <c r="J130" s="134" t="s">
        <v>3</v>
      </c>
      <c r="K130" s="134" t="s">
        <v>3</v>
      </c>
      <c r="L130" s="134"/>
      <c r="M130" s="134" t="s">
        <v>3</v>
      </c>
      <c r="N130" s="292">
        <f>IF(AND(F130="Yes",G130="Yes",H130="Yes",I130&lt;&gt;"Yes",J130&lt;&gt;"Yes"),0.25,IF(AND(F130="Yes",G130="Yes",H130="Yes",I130="Yes",J130&lt;&gt;"Yes"),0.5,IF(AND(F130="Yes",G130="Yes",H130="Yes",I130="Yes",J130="Yes"),0.75,0)))+IF(AND(F130="Yes",G130="Yes",H130="Yes",I130="Yes",J130="Yes",E130="Outsourced core function",K130="Yes"),0.25,IF(AND(F130="Yes",G130="Yes",H130="Yes",I130="Yes",J130="Yes",E130="Product input",L130="Yes"),0.25,IF(AND(F130="Yes",G130="Yes",H130="Yes",I130="Yes",J130="Yes",E130="Ancillary spend",M130="Yes"),0.25,0)))</f>
        <v>1</v>
      </c>
      <c r="O130" s="688"/>
      <c r="P130" s="689"/>
    </row>
    <row r="131" spans="1:25" ht="19.95" hidden="1" customHeight="1" outlineLevel="1" x14ac:dyDescent="0.35">
      <c r="A131" s="9"/>
      <c r="B131" s="607" t="str">
        <f>$B$122</f>
        <v>Plastic shrink wrap</v>
      </c>
      <c r="C131" s="608"/>
      <c r="D131" s="131">
        <f>$D$122</f>
        <v>20000</v>
      </c>
      <c r="E131" s="291" t="str">
        <f>$E$122</f>
        <v>Ancillary spend</v>
      </c>
      <c r="F131" s="134" t="s">
        <v>4</v>
      </c>
      <c r="G131" s="134" t="s">
        <v>4</v>
      </c>
      <c r="H131" s="134" t="s">
        <v>4</v>
      </c>
      <c r="I131" s="134"/>
      <c r="J131" s="134"/>
      <c r="K131" s="134"/>
      <c r="L131" s="134"/>
      <c r="M131" s="134" t="s">
        <v>3</v>
      </c>
      <c r="N131" s="292">
        <f>IF(AND(F131="Yes",G131="Yes",H131="Yes",I131&lt;&gt;"Yes",J131&lt;&gt;"Yes"),0.25,IF(AND(F131="Yes",G131="Yes",H131="Yes",I131="Yes",J131&lt;&gt;"Yes"),0.5,IF(AND(F131="Yes",G131="Yes",H131="Yes",I131="Yes",J131="Yes"),0.75,0)))+IF(AND(F131="Yes",G131="Yes",H131="Yes",I131="Yes",J131="Yes",E131="Outsourced core function",K131="Yes"),0.25,IF(AND(F131="Yes",G131="Yes",H131="Yes",I131="Yes",J131="Yes",E131="Product input",L131="Yes"),0.25,IF(AND(F131="Yes",G131="Yes",H131="Yes",I131="Yes",J131="Yes",E131="Ancillary spend",M131="Yes"),0.25,0)))</f>
        <v>0</v>
      </c>
      <c r="O131" s="688"/>
      <c r="P131" s="689"/>
    </row>
    <row r="132" spans="1:25" ht="19.95" hidden="1" customHeight="1" outlineLevel="1" x14ac:dyDescent="0.35">
      <c r="A132" s="128"/>
      <c r="B132" s="686" t="str">
        <f>$B$123</f>
        <v>Wooden pallets</v>
      </c>
      <c r="C132" s="687"/>
      <c r="D132" s="132">
        <f>$D$123</f>
        <v>40000</v>
      </c>
      <c r="E132" s="291" t="str">
        <f>$E$123</f>
        <v>Ancillary spend</v>
      </c>
      <c r="F132" s="130" t="s">
        <v>3</v>
      </c>
      <c r="G132" s="130" t="s">
        <v>3</v>
      </c>
      <c r="H132" s="130" t="s">
        <v>3</v>
      </c>
      <c r="I132" s="130" t="s">
        <v>3</v>
      </c>
      <c r="J132" s="130" t="s">
        <v>3</v>
      </c>
      <c r="K132" s="130" t="s">
        <v>3</v>
      </c>
      <c r="L132" s="130" t="s">
        <v>4</v>
      </c>
      <c r="M132" s="130" t="s">
        <v>4</v>
      </c>
      <c r="N132" s="290">
        <f>IF(AND(F132="Yes",G132="Yes",H132="Yes",I132&lt;&gt;"Yes",J132&lt;&gt;"Yes"),0.25,IF(AND(F132="Yes",G132="Yes",H132="Yes",I132="Yes",J132&lt;&gt;"Yes"),0.5,IF(AND(F132="Yes",G132="Yes",H132="Yes",I132="Yes",J132="Yes"),0.75,0)))+IF(AND(F132="Yes",G132="Yes",H132="Yes",I132="Yes",J132="Yes",E132="Outsourced core function",K132="Yes"),0.25,IF(AND(F132="Yes",G132="Yes",H132="Yes",I132="Yes",J132="Yes",E132="Product input",L132="Yes"),0.25,IF(AND(F132="Yes",G132="Yes",H132="Yes",I132="Yes",J132="Yes",E132="Ancillary spend",M132="Yes"),0.25,0)))</f>
        <v>0.75</v>
      </c>
      <c r="O132" s="752"/>
      <c r="P132" s="753"/>
    </row>
    <row r="133" spans="1:25" s="1" customFormat="1" ht="19.95" hidden="1" customHeight="1" outlineLevel="1" x14ac:dyDescent="0.35">
      <c r="A133" s="128"/>
      <c r="B133" s="127" t="s">
        <v>309</v>
      </c>
      <c r="C133" s="126"/>
      <c r="D133" s="126"/>
      <c r="E133" s="11"/>
      <c r="F133" s="11"/>
      <c r="G133" s="11"/>
      <c r="H133" s="11"/>
      <c r="I133" s="11"/>
      <c r="J133" s="11"/>
      <c r="K133" s="11"/>
      <c r="N133" s="124">
        <f>SUMPRODUCT(D128:D132,N128:N132)/SUM(D128:D132)</f>
        <v>0.58146964856230032</v>
      </c>
      <c r="O133" s="11"/>
      <c r="P133" s="11"/>
      <c r="R133" s="4"/>
      <c r="S133" s="4"/>
      <c r="T133" s="4"/>
      <c r="U133" s="4"/>
      <c r="V133" s="4"/>
      <c r="X133" s="4"/>
      <c r="Y133" s="4"/>
    </row>
    <row r="134" spans="1:25" ht="30" hidden="1" customHeight="1" outlineLevel="1" x14ac:dyDescent="0.35">
      <c r="A134" s="9"/>
      <c r="B134" s="685" t="s">
        <v>693</v>
      </c>
      <c r="C134" s="685"/>
      <c r="D134" s="685"/>
      <c r="E134" s="707" t="s">
        <v>589</v>
      </c>
      <c r="F134" s="708"/>
      <c r="G134" s="708"/>
      <c r="H134" s="708"/>
      <c r="I134" s="708"/>
      <c r="J134" s="708"/>
      <c r="K134" s="708"/>
      <c r="L134" s="708"/>
      <c r="M134" s="708"/>
      <c r="N134" s="708"/>
      <c r="O134" s="708"/>
      <c r="P134" s="709"/>
    </row>
    <row r="135" spans="1:25" ht="67.05" hidden="1" customHeight="1" outlineLevel="1" x14ac:dyDescent="0.35">
      <c r="A135" s="9"/>
      <c r="B135" s="683" t="s">
        <v>571</v>
      </c>
      <c r="C135" s="684"/>
      <c r="D135" s="344" t="s">
        <v>570</v>
      </c>
      <c r="E135" s="344" t="s">
        <v>569</v>
      </c>
      <c r="F135" s="345" t="s">
        <v>568</v>
      </c>
      <c r="G135" s="345" t="s">
        <v>199</v>
      </c>
      <c r="H135" s="345" t="s">
        <v>198</v>
      </c>
      <c r="I135" s="345" t="s">
        <v>197</v>
      </c>
      <c r="J135" s="345" t="s">
        <v>196</v>
      </c>
      <c r="K135" s="345" t="s">
        <v>195</v>
      </c>
      <c r="L135" s="345" t="s">
        <v>588</v>
      </c>
      <c r="M135" s="345" t="s">
        <v>566</v>
      </c>
      <c r="N135" s="346" t="s">
        <v>587</v>
      </c>
      <c r="O135" s="737" t="s">
        <v>5</v>
      </c>
      <c r="P135" s="709"/>
    </row>
    <row r="136" spans="1:25" ht="19.95" hidden="1" customHeight="1" outlineLevel="1" x14ac:dyDescent="0.35">
      <c r="A136" s="9"/>
      <c r="B136" s="624" t="str">
        <f>$B$119</f>
        <v>Motors</v>
      </c>
      <c r="C136" s="625"/>
      <c r="D136" s="137">
        <f>$D$119</f>
        <v>1000000</v>
      </c>
      <c r="E136" s="291" t="str">
        <f>$E$119</f>
        <v>Outsourced core function</v>
      </c>
      <c r="F136" s="136" t="s">
        <v>3</v>
      </c>
      <c r="G136" s="136" t="s">
        <v>3</v>
      </c>
      <c r="H136" s="136" t="s">
        <v>3</v>
      </c>
      <c r="I136" s="136" t="s">
        <v>3</v>
      </c>
      <c r="J136" s="136" t="s">
        <v>3</v>
      </c>
      <c r="K136" s="136" t="s">
        <v>3</v>
      </c>
      <c r="L136" s="136"/>
      <c r="M136" s="136" t="s">
        <v>4</v>
      </c>
      <c r="N136" s="293">
        <f>IF(AND(F136="Yes",G136="Yes",H136="Yes",I136&lt;&gt;"Yes",J136&lt;&gt;"Yes"),0.25,IF(AND(F136="Yes",G136="Yes",H136="Yes",I136="Yes",J136&lt;&gt;"Yes"),0.5,IF(AND(F136="Yes",G136="Yes",H136="Yes",I136="Yes",J136="Yes"),0.75,0)))+IF(AND(F136="Yes",G136="Yes",H136="Yes",I136="Yes",J136="Yes",E136="Outsourced core function",K136="Yes"),0.25,IF(AND(F136="Yes",G136="Yes",H136="Yes",I136="Yes",J136="Yes",E136="Product input",L136="Yes"),0.25,IF(AND(F136="Yes",G136="Yes",H136="Yes",I136="Yes",J136="Yes",E136="Ancillary spend",M136="Yes"),0.25,0)))</f>
        <v>1</v>
      </c>
      <c r="O136" s="690"/>
      <c r="P136" s="691"/>
    </row>
    <row r="137" spans="1:25" ht="19.95" hidden="1" customHeight="1" outlineLevel="1" x14ac:dyDescent="0.35">
      <c r="A137" s="9"/>
      <c r="B137" s="607" t="str">
        <f>$B$120</f>
        <v>Frames</v>
      </c>
      <c r="C137" s="608" t="str">
        <f>IF('[2]Site information'!C112="","",'[2]Site information'!C112)</f>
        <v/>
      </c>
      <c r="D137" s="131">
        <f>$D$120</f>
        <v>500000</v>
      </c>
      <c r="E137" s="291" t="str">
        <f>$E$120</f>
        <v>Product input</v>
      </c>
      <c r="F137" s="134" t="s">
        <v>3</v>
      </c>
      <c r="G137" s="134" t="s">
        <v>3</v>
      </c>
      <c r="H137" s="134" t="s">
        <v>3</v>
      </c>
      <c r="I137" s="134" t="s">
        <v>3</v>
      </c>
      <c r="J137" s="134" t="s">
        <v>3</v>
      </c>
      <c r="K137" s="134" t="s">
        <v>3</v>
      </c>
      <c r="L137" s="134"/>
      <c r="M137" s="134" t="s">
        <v>4</v>
      </c>
      <c r="N137" s="292">
        <f>IF(AND(F137="Yes",G137="Yes",H137="Yes",I137&lt;&gt;"Yes",J137&lt;&gt;"Yes"),0.25,IF(AND(F137="Yes",G137="Yes",H137="Yes",I137="Yes",J137&lt;&gt;"Yes"),0.5,IF(AND(F137="Yes",G137="Yes",H137="Yes",I137="Yes",J137="Yes"),0.75,0)))+IF(AND(F137="Yes",G137="Yes",H137="Yes",I137="Yes",J137="Yes",E137="Outsourced core function",K137="Yes"),0.25,IF(AND(F137="Yes",G137="Yes",H137="Yes",I137="Yes",J137="Yes",E137="Product input",L137="Yes"),0.25,IF(AND(F137="Yes",G137="Yes",H137="Yes",I137="Yes",J137="Yes",E137="Ancillary spend",M137="Yes"),0.25,0)))</f>
        <v>0.75</v>
      </c>
      <c r="O137" s="688"/>
      <c r="P137" s="689"/>
    </row>
    <row r="138" spans="1:25" ht="19.95" hidden="1" customHeight="1" outlineLevel="1" x14ac:dyDescent="0.35">
      <c r="A138" s="9"/>
      <c r="B138" s="607" t="str">
        <f>$B$121</f>
        <v>Paper for instruction manuals</v>
      </c>
      <c r="C138" s="608" t="str">
        <f>IF('[2]Site information'!C113="","",'[2]Site information'!C113)</f>
        <v/>
      </c>
      <c r="D138" s="131">
        <f>$D$121</f>
        <v>5000</v>
      </c>
      <c r="E138" s="291" t="str">
        <f>$E$121</f>
        <v>Ancillary spend</v>
      </c>
      <c r="F138" s="134" t="s">
        <v>3</v>
      </c>
      <c r="G138" s="134" t="s">
        <v>3</v>
      </c>
      <c r="H138" s="134" t="s">
        <v>3</v>
      </c>
      <c r="I138" s="134" t="s">
        <v>3</v>
      </c>
      <c r="J138" s="134" t="s">
        <v>3</v>
      </c>
      <c r="K138" s="134" t="s">
        <v>3</v>
      </c>
      <c r="L138" s="134"/>
      <c r="M138" s="134" t="s">
        <v>4</v>
      </c>
      <c r="N138" s="292">
        <f>IF(AND(F138="Yes",G138="Yes",H138="Yes",I138&lt;&gt;"Yes",J138&lt;&gt;"Yes"),0.25,IF(AND(F138="Yes",G138="Yes",H138="Yes",I138="Yes",J138&lt;&gt;"Yes"),0.5,IF(AND(F138="Yes",G138="Yes",H138="Yes",I138="Yes",J138="Yes"),0.75,0)))+IF(AND(F138="Yes",G138="Yes",H138="Yes",I138="Yes",J138="Yes",E138="Outsourced core function",K138="Yes"),0.25,IF(AND(F138="Yes",G138="Yes",H138="Yes",I138="Yes",J138="Yes",E138="Product input",L138="Yes"),0.25,IF(AND(F138="Yes",G138="Yes",H138="Yes",I138="Yes",J138="Yes",E138="Ancillary spend",M138="Yes"),0.25,0)))</f>
        <v>0.75</v>
      </c>
      <c r="O138" s="688"/>
      <c r="P138" s="689"/>
    </row>
    <row r="139" spans="1:25" ht="19.95" hidden="1" customHeight="1" outlineLevel="1" x14ac:dyDescent="0.35">
      <c r="A139" s="9"/>
      <c r="B139" s="607" t="str">
        <f>$B$122</f>
        <v>Plastic shrink wrap</v>
      </c>
      <c r="C139" s="608"/>
      <c r="D139" s="131">
        <f>$D$122</f>
        <v>20000</v>
      </c>
      <c r="E139" s="291" t="str">
        <f>$E$122</f>
        <v>Ancillary spend</v>
      </c>
      <c r="F139" s="134" t="s">
        <v>3</v>
      </c>
      <c r="G139" s="134" t="s">
        <v>3</v>
      </c>
      <c r="H139" s="134" t="s">
        <v>4</v>
      </c>
      <c r="I139" s="134" t="s">
        <v>3</v>
      </c>
      <c r="J139" s="134" t="s">
        <v>3</v>
      </c>
      <c r="K139" s="134" t="s">
        <v>3</v>
      </c>
      <c r="L139" s="134"/>
      <c r="M139" s="134" t="s">
        <v>4</v>
      </c>
      <c r="N139" s="292">
        <f>IF(AND(F139="Yes",G139="Yes",H139="Yes",I139&lt;&gt;"Yes",J139&lt;&gt;"Yes"),0.25,IF(AND(F139="Yes",G139="Yes",H139="Yes",I139="Yes",J139&lt;&gt;"Yes"),0.5,IF(AND(F139="Yes",G139="Yes",H139="Yes",I139="Yes",J139="Yes"),0.75,0)))+IF(AND(F139="Yes",G139="Yes",H139="Yes",I139="Yes",J139="Yes",E139="Outsourced core function",K139="Yes"),0.25,IF(AND(F139="Yes",G139="Yes",H139="Yes",I139="Yes",J139="Yes",E139="Product input",L139="Yes"),0.25,IF(AND(F139="Yes",G139="Yes",H139="Yes",I139="Yes",J139="Yes",E139="Ancillary spend",M139="Yes"),0.25,0)))</f>
        <v>0</v>
      </c>
      <c r="O139" s="688"/>
      <c r="P139" s="689"/>
    </row>
    <row r="140" spans="1:25" ht="19.95" hidden="1" customHeight="1" outlineLevel="1" x14ac:dyDescent="0.35">
      <c r="A140" s="128"/>
      <c r="B140" s="686" t="str">
        <f>$B$123</f>
        <v>Wooden pallets</v>
      </c>
      <c r="C140" s="687"/>
      <c r="D140" s="132">
        <f>$D$123</f>
        <v>40000</v>
      </c>
      <c r="E140" s="291" t="str">
        <f>$E$123</f>
        <v>Ancillary spend</v>
      </c>
      <c r="F140" s="130" t="s">
        <v>3</v>
      </c>
      <c r="G140" s="130" t="s">
        <v>3</v>
      </c>
      <c r="H140" s="130" t="s">
        <v>3</v>
      </c>
      <c r="I140" s="130" t="s">
        <v>3</v>
      </c>
      <c r="J140" s="130" t="s">
        <v>4</v>
      </c>
      <c r="K140" s="130"/>
      <c r="L140" s="130"/>
      <c r="M140" s="130" t="s">
        <v>4</v>
      </c>
      <c r="N140" s="290">
        <f>IF(AND(F140="Yes",G140="Yes",H140="Yes",I140&lt;&gt;"Yes",J140&lt;&gt;"Yes"),0.25,IF(AND(F140="Yes",G140="Yes",H140="Yes",I140="Yes",J140&lt;&gt;"Yes"),0.5,IF(AND(F140="Yes",G140="Yes",H140="Yes",I140="Yes",J140="Yes"),0.75,0)))+IF(AND(F140="Yes",G140="Yes",H140="Yes",I140="Yes",J140="Yes",E140="Outsourced core function",K140="Yes"),0.25,IF(AND(F140="Yes",G140="Yes",H140="Yes",I140="Yes",J140="Yes",E140="Product input",L140="Yes"),0.25,IF(AND(F140="Yes",G140="Yes",H140="Yes",I140="Yes",J140="Yes",E140="Ancillary spend",M140="Yes"),0.25,0)))</f>
        <v>0.5</v>
      </c>
      <c r="O140" s="752"/>
      <c r="P140" s="753"/>
    </row>
    <row r="141" spans="1:25" s="1" customFormat="1" ht="19.95" hidden="1" customHeight="1" outlineLevel="1" x14ac:dyDescent="0.35">
      <c r="A141" s="128"/>
      <c r="B141" s="127" t="s">
        <v>309</v>
      </c>
      <c r="C141" s="126"/>
      <c r="D141" s="126"/>
      <c r="E141" s="11"/>
      <c r="F141" s="11"/>
      <c r="G141" s="11"/>
      <c r="H141" s="11"/>
      <c r="I141" s="11"/>
      <c r="J141" s="11"/>
      <c r="K141" s="11"/>
      <c r="N141" s="259">
        <f>SUMPRODUCT(D136:D140,N136:N140)/SUM(D136:D140)</f>
        <v>0.89376996805111819</v>
      </c>
      <c r="O141" s="11"/>
      <c r="P141" s="11"/>
      <c r="R141" s="4"/>
      <c r="S141" s="4"/>
      <c r="T141" s="4"/>
      <c r="U141" s="4"/>
      <c r="V141" s="4"/>
      <c r="X141" s="4"/>
      <c r="Y141" s="4"/>
    </row>
    <row r="142" spans="1:25" ht="30" hidden="1" customHeight="1" outlineLevel="1" x14ac:dyDescent="0.35">
      <c r="A142" s="9"/>
      <c r="B142" s="685" t="s">
        <v>694</v>
      </c>
      <c r="C142" s="685"/>
      <c r="D142" s="685"/>
      <c r="E142" s="707" t="s">
        <v>586</v>
      </c>
      <c r="F142" s="708"/>
      <c r="G142" s="708"/>
      <c r="H142" s="708"/>
      <c r="I142" s="708"/>
      <c r="J142" s="708"/>
      <c r="K142" s="708"/>
      <c r="L142" s="708"/>
      <c r="M142" s="708"/>
      <c r="N142" s="708"/>
      <c r="O142" s="708"/>
      <c r="P142" s="709"/>
    </row>
    <row r="143" spans="1:25" ht="67.05" hidden="1" customHeight="1" outlineLevel="1" x14ac:dyDescent="0.35">
      <c r="A143" s="9"/>
      <c r="B143" s="683" t="s">
        <v>571</v>
      </c>
      <c r="C143" s="684"/>
      <c r="D143" s="344" t="s">
        <v>570</v>
      </c>
      <c r="E143" s="344" t="s">
        <v>569</v>
      </c>
      <c r="F143" s="344" t="s">
        <v>568</v>
      </c>
      <c r="G143" s="344" t="s">
        <v>192</v>
      </c>
      <c r="H143" s="344" t="s">
        <v>191</v>
      </c>
      <c r="I143" s="344" t="s">
        <v>190</v>
      </c>
      <c r="J143" s="344" t="s">
        <v>189</v>
      </c>
      <c r="K143" s="344" t="s">
        <v>188</v>
      </c>
      <c r="L143" s="344" t="s">
        <v>585</v>
      </c>
      <c r="M143" s="344" t="s">
        <v>566</v>
      </c>
      <c r="N143" s="346" t="s">
        <v>584</v>
      </c>
      <c r="O143" s="737" t="s">
        <v>5</v>
      </c>
      <c r="P143" s="709"/>
    </row>
    <row r="144" spans="1:25" ht="19.95" hidden="1" customHeight="1" outlineLevel="1" x14ac:dyDescent="0.35">
      <c r="A144" s="9"/>
      <c r="B144" s="624" t="str">
        <f>$B$119</f>
        <v>Motors</v>
      </c>
      <c r="C144" s="625"/>
      <c r="D144" s="137">
        <f>$D$119</f>
        <v>1000000</v>
      </c>
      <c r="E144" s="291" t="str">
        <f>$E$119</f>
        <v>Outsourced core function</v>
      </c>
      <c r="F144" s="136" t="s">
        <v>3</v>
      </c>
      <c r="G144" s="136" t="s">
        <v>3</v>
      </c>
      <c r="H144" s="136" t="s">
        <v>3</v>
      </c>
      <c r="I144" s="136" t="s">
        <v>3</v>
      </c>
      <c r="J144" s="136" t="s">
        <v>4</v>
      </c>
      <c r="K144" s="136" t="s">
        <v>4</v>
      </c>
      <c r="L144" s="136"/>
      <c r="M144" s="136" t="s">
        <v>4</v>
      </c>
      <c r="N144" s="293">
        <f>IF(AND(F144="Yes",G144="Yes",H144="Yes",I144&lt;&gt;"Yes",J144&lt;&gt;"Yes"),0.25,IF(AND(F144="Yes",G144="Yes",H144="Yes",I144="Yes",J144&lt;&gt;"Yes"),0.5,IF(AND(F144="Yes",G144="Yes",H144="Yes",I144="Yes",J144="Yes"),0.75,0)))+IF(AND(F144="Yes",G144="Yes",H144="Yes",I144="Yes",J144="Yes",E144="Outsourced core function",K144="Yes"),0.25,IF(AND(F144="Yes",G144="Yes",H144="Yes",I144="Yes",J144="Yes",E144="Product input",L144="Yes"),0.25,IF(AND(F144="Yes",G144="Yes",H144="Yes",I144="Yes",J144="Yes",E144="Ancillary spend",M144="Yes"),0.25,0)))</f>
        <v>0.5</v>
      </c>
      <c r="O144" s="690"/>
      <c r="P144" s="691"/>
    </row>
    <row r="145" spans="1:25" ht="19.95" hidden="1" customHeight="1" outlineLevel="1" x14ac:dyDescent="0.35">
      <c r="A145" s="9"/>
      <c r="B145" s="607" t="str">
        <f>$B$120</f>
        <v>Frames</v>
      </c>
      <c r="C145" s="608" t="str">
        <f>IF('[2]Site information'!C120="","",'[2]Site information'!C120)</f>
        <v/>
      </c>
      <c r="D145" s="131">
        <f>$D$120</f>
        <v>500000</v>
      </c>
      <c r="E145" s="291" t="str">
        <f>$E$120</f>
        <v>Product input</v>
      </c>
      <c r="F145" s="134" t="s">
        <v>3</v>
      </c>
      <c r="G145" s="134" t="s">
        <v>3</v>
      </c>
      <c r="H145" s="134" t="s">
        <v>3</v>
      </c>
      <c r="I145" s="134" t="s">
        <v>3</v>
      </c>
      <c r="J145" s="134" t="s">
        <v>4</v>
      </c>
      <c r="K145" s="134"/>
      <c r="L145" s="134"/>
      <c r="M145" s="134" t="s">
        <v>3</v>
      </c>
      <c r="N145" s="292">
        <f>IF(AND(F145="Yes",G145="Yes",H145="Yes",I145&lt;&gt;"Yes",J145&lt;&gt;"Yes"),0.25,IF(AND(F145="Yes",G145="Yes",H145="Yes",I145="Yes",J145&lt;&gt;"Yes"),0.5,IF(AND(F145="Yes",G145="Yes",H145="Yes",I145="Yes",J145="Yes"),0.75,0)))+IF(AND(F145="Yes",G145="Yes",H145="Yes",I145="Yes",J145="Yes",E145="Outsourced core function",K145="Yes"),0.25,IF(AND(F145="Yes",G145="Yes",H145="Yes",I145="Yes",J145="Yes",E145="Product input",L145="Yes"),0.25,IF(AND(F145="Yes",G145="Yes",H145="Yes",I145="Yes",J145="Yes",E145="Ancillary spend",M145="Yes"),0.25,0)))</f>
        <v>0.5</v>
      </c>
      <c r="O145" s="688"/>
      <c r="P145" s="689"/>
    </row>
    <row r="146" spans="1:25" ht="19.95" hidden="1" customHeight="1" outlineLevel="1" x14ac:dyDescent="0.35">
      <c r="A146" s="9"/>
      <c r="B146" s="607" t="str">
        <f>$B$121</f>
        <v>Paper for instruction manuals</v>
      </c>
      <c r="C146" s="608" t="str">
        <f>IF('[2]Site information'!C121="","",'[2]Site information'!C121)</f>
        <v/>
      </c>
      <c r="D146" s="131">
        <f>$D$121</f>
        <v>5000</v>
      </c>
      <c r="E146" s="291" t="str">
        <f>$E$121</f>
        <v>Ancillary spend</v>
      </c>
      <c r="F146" s="134" t="s">
        <v>3</v>
      </c>
      <c r="G146" s="134" t="s">
        <v>3</v>
      </c>
      <c r="H146" s="134" t="s">
        <v>3</v>
      </c>
      <c r="I146" s="134" t="s">
        <v>3</v>
      </c>
      <c r="J146" s="134" t="s">
        <v>3</v>
      </c>
      <c r="K146" s="134" t="s">
        <v>3</v>
      </c>
      <c r="L146" s="134"/>
      <c r="M146" s="134" t="s">
        <v>4</v>
      </c>
      <c r="N146" s="292">
        <f>IF(AND(F146="Yes",G146="Yes",H146="Yes",I146&lt;&gt;"Yes",J146&lt;&gt;"Yes"),0.25,IF(AND(F146="Yes",G146="Yes",H146="Yes",I146="Yes",J146&lt;&gt;"Yes"),0.5,IF(AND(F146="Yes",G146="Yes",H146="Yes",I146="Yes",J146="Yes"),0.75,0)))+IF(AND(F146="Yes",G146="Yes",H146="Yes",I146="Yes",J146="Yes",E146="Outsourced core function",K146="Yes"),0.25,IF(AND(F146="Yes",G146="Yes",H146="Yes",I146="Yes",J146="Yes",E146="Product input",L146="Yes"),0.25,IF(AND(F146="Yes",G146="Yes",H146="Yes",I146="Yes",J146="Yes",E146="Ancillary spend",M146="Yes"),0.25,0)))</f>
        <v>0.75</v>
      </c>
      <c r="O146" s="688"/>
      <c r="P146" s="689"/>
    </row>
    <row r="147" spans="1:25" ht="19.95" hidden="1" customHeight="1" outlineLevel="1" x14ac:dyDescent="0.35">
      <c r="A147" s="9"/>
      <c r="B147" s="607" t="str">
        <f>$B$122</f>
        <v>Plastic shrink wrap</v>
      </c>
      <c r="C147" s="608"/>
      <c r="D147" s="131">
        <f>$D$122</f>
        <v>20000</v>
      </c>
      <c r="E147" s="291" t="str">
        <f>$E$122</f>
        <v>Ancillary spend</v>
      </c>
      <c r="F147" s="134" t="s">
        <v>3</v>
      </c>
      <c r="G147" s="134" t="s">
        <v>3</v>
      </c>
      <c r="H147" s="134" t="s">
        <v>4</v>
      </c>
      <c r="I147" s="134" t="s">
        <v>3</v>
      </c>
      <c r="J147" s="134" t="s">
        <v>3</v>
      </c>
      <c r="K147" s="134" t="s">
        <v>3</v>
      </c>
      <c r="L147" s="134"/>
      <c r="M147" s="134" t="s">
        <v>4</v>
      </c>
      <c r="N147" s="292">
        <f>IF(AND(F147="Yes",G147="Yes",H147="Yes",I147&lt;&gt;"Yes",J147&lt;&gt;"Yes"),0.25,IF(AND(F147="Yes",G147="Yes",H147="Yes",I147="Yes",J147&lt;&gt;"Yes"),0.5,IF(AND(F147="Yes",G147="Yes",H147="Yes",I147="Yes",J147="Yes"),0.75,0)))+IF(AND(F147="Yes",G147="Yes",H147="Yes",I147="Yes",J147="Yes",E147="Outsourced core function",K147="Yes"),0.25,IF(AND(F147="Yes",G147="Yes",H147="Yes",I147="Yes",J147="Yes",E147="Product input",L147="Yes"),0.25,IF(AND(F147="Yes",G147="Yes",H147="Yes",I147="Yes",J147="Yes",E147="Ancillary spend",M147="Yes"),0.25,0)))</f>
        <v>0</v>
      </c>
      <c r="O147" s="688"/>
      <c r="P147" s="689"/>
    </row>
    <row r="148" spans="1:25" ht="19.95" hidden="1" customHeight="1" outlineLevel="1" x14ac:dyDescent="0.35">
      <c r="A148" s="128"/>
      <c r="B148" s="686" t="str">
        <f>$B$123</f>
        <v>Wooden pallets</v>
      </c>
      <c r="C148" s="687"/>
      <c r="D148" s="132">
        <f>$D$123</f>
        <v>40000</v>
      </c>
      <c r="E148" s="291" t="str">
        <f>$E$123</f>
        <v>Ancillary spend</v>
      </c>
      <c r="F148" s="130" t="s">
        <v>3</v>
      </c>
      <c r="G148" s="130" t="s">
        <v>3</v>
      </c>
      <c r="H148" s="130" t="s">
        <v>3</v>
      </c>
      <c r="I148" s="130" t="s">
        <v>3</v>
      </c>
      <c r="J148" s="130" t="s">
        <v>3</v>
      </c>
      <c r="K148" s="130" t="s">
        <v>3</v>
      </c>
      <c r="L148" s="130"/>
      <c r="M148" s="130" t="s">
        <v>4</v>
      </c>
      <c r="N148" s="290">
        <f>IF(AND(F148="Yes",G148="Yes",H148="Yes",I148&lt;&gt;"Yes",J148&lt;&gt;"Yes"),0.25,IF(AND(F148="Yes",G148="Yes",H148="Yes",I148="Yes",J148&lt;&gt;"Yes"),0.5,IF(AND(F148="Yes",G148="Yes",H148="Yes",I148="Yes",J148="Yes"),0.75,0)))+IF(AND(F148="Yes",G148="Yes",H148="Yes",I148="Yes",J148="Yes",E148="Outsourced core function",K148="Yes"),0.25,IF(AND(F148="Yes",G148="Yes",H148="Yes",I148="Yes",J148="Yes",E148="Product input",L148="Yes"),0.25,IF(AND(F148="Yes",G148="Yes",H148="Yes",I148="Yes",J148="Yes",E148="Ancillary spend",M148="Yes"),0.25,0)))</f>
        <v>0.75</v>
      </c>
      <c r="O148" s="752"/>
      <c r="P148" s="753"/>
    </row>
    <row r="149" spans="1:25" s="1" customFormat="1" ht="19.95" hidden="1" customHeight="1" outlineLevel="1" x14ac:dyDescent="0.35">
      <c r="A149" s="128"/>
      <c r="B149" s="127" t="s">
        <v>309</v>
      </c>
      <c r="C149" s="126"/>
      <c r="D149" s="126"/>
      <c r="E149" s="11"/>
      <c r="F149" s="11"/>
      <c r="G149" s="11"/>
      <c r="H149" s="11"/>
      <c r="I149" s="11"/>
      <c r="J149" s="11"/>
      <c r="N149" s="124">
        <f>SUMPRODUCT(D144:D148,N144:N148)/SUM(D144:D148)</f>
        <v>0.50079872204472842</v>
      </c>
      <c r="O149" s="11"/>
      <c r="P149" s="11"/>
      <c r="R149" s="4"/>
      <c r="S149" s="4"/>
      <c r="T149" s="4"/>
      <c r="U149" s="4"/>
      <c r="V149" s="4"/>
      <c r="X149" s="4"/>
      <c r="Y149" s="4"/>
    </row>
    <row r="150" spans="1:25" ht="40.049999999999997" hidden="1" customHeight="1" outlineLevel="1" x14ac:dyDescent="0.35">
      <c r="A150" s="9"/>
      <c r="B150" s="685" t="s">
        <v>695</v>
      </c>
      <c r="C150" s="685"/>
      <c r="D150" s="685"/>
      <c r="E150" s="707" t="s">
        <v>700</v>
      </c>
      <c r="F150" s="708"/>
      <c r="G150" s="708"/>
      <c r="H150" s="708"/>
      <c r="I150" s="708"/>
      <c r="J150" s="708"/>
      <c r="K150" s="708"/>
      <c r="L150" s="708"/>
      <c r="M150" s="708"/>
      <c r="N150" s="708"/>
      <c r="O150" s="708"/>
      <c r="P150" s="709"/>
    </row>
    <row r="151" spans="1:25" ht="67.05" hidden="1" customHeight="1" outlineLevel="1" x14ac:dyDescent="0.35">
      <c r="A151" s="9"/>
      <c r="B151" s="683" t="s">
        <v>571</v>
      </c>
      <c r="C151" s="684"/>
      <c r="D151" s="344" t="s">
        <v>570</v>
      </c>
      <c r="E151" s="344" t="s">
        <v>569</v>
      </c>
      <c r="F151" s="344" t="s">
        <v>568</v>
      </c>
      <c r="G151" s="344" t="s">
        <v>185</v>
      </c>
      <c r="H151" s="344" t="s">
        <v>184</v>
      </c>
      <c r="I151" s="344" t="s">
        <v>183</v>
      </c>
      <c r="J151" s="344" t="s">
        <v>182</v>
      </c>
      <c r="K151" s="344" t="s">
        <v>181</v>
      </c>
      <c r="L151" s="344" t="s">
        <v>583</v>
      </c>
      <c r="M151" s="344" t="s">
        <v>566</v>
      </c>
      <c r="N151" s="346" t="s">
        <v>582</v>
      </c>
      <c r="O151" s="737" t="s">
        <v>5</v>
      </c>
      <c r="P151" s="709"/>
    </row>
    <row r="152" spans="1:25" ht="19.95" hidden="1" customHeight="1" outlineLevel="1" x14ac:dyDescent="0.35">
      <c r="A152" s="9"/>
      <c r="B152" s="624" t="str">
        <f>$B$119</f>
        <v>Motors</v>
      </c>
      <c r="C152" s="625"/>
      <c r="D152" s="137">
        <f>$D$119</f>
        <v>1000000</v>
      </c>
      <c r="E152" s="291" t="str">
        <f>$E$119</f>
        <v>Outsourced core function</v>
      </c>
      <c r="F152" s="136" t="s">
        <v>3</v>
      </c>
      <c r="G152" s="136" t="s">
        <v>3</v>
      </c>
      <c r="H152" s="136" t="s">
        <v>3</v>
      </c>
      <c r="I152" s="136" t="s">
        <v>3</v>
      </c>
      <c r="J152" s="136" t="s">
        <v>3</v>
      </c>
      <c r="K152" s="136" t="s">
        <v>3</v>
      </c>
      <c r="L152" s="136"/>
      <c r="M152" s="136" t="s">
        <v>4</v>
      </c>
      <c r="N152" s="293">
        <f>IF(AND(F152="Yes",G152="Yes",H152="Yes",I152&lt;&gt;"Yes",J152&lt;&gt;"Yes"),0.25,IF(AND(F152="Yes",G152="Yes",H152="Yes",I152="Yes",J152&lt;&gt;"Yes"),0.5,IF(AND(F152="Yes",G152="Yes",H152="Yes",I152="Yes",J152="Yes"),0.75,0)))+IF(AND(F152="Yes",G152="Yes",H152="Yes",I152="Yes",J152="Yes",E152="Outsourced core function",K152="Yes"),0.25,IF(AND(F152="Yes",G152="Yes",H152="Yes",I152="Yes",J152="Yes",E152="Product input",L152="Yes"),0.25,IF(AND(F152="Yes",G152="Yes",H152="Yes",I152="Yes",J152="Yes",E152="Ancillary spend",M152="Yes"),0.25,0)))</f>
        <v>1</v>
      </c>
      <c r="O152" s="690"/>
      <c r="P152" s="691"/>
    </row>
    <row r="153" spans="1:25" ht="19.95" hidden="1" customHeight="1" outlineLevel="1" x14ac:dyDescent="0.35">
      <c r="A153" s="9"/>
      <c r="B153" s="607" t="str">
        <f>$B$120</f>
        <v>Frames</v>
      </c>
      <c r="C153" s="608" t="str">
        <f>IF('[2]Site information'!C128="","",'[2]Site information'!C128)</f>
        <v/>
      </c>
      <c r="D153" s="131">
        <f>$D$120</f>
        <v>500000</v>
      </c>
      <c r="E153" s="291" t="str">
        <f>$E$120</f>
        <v>Product input</v>
      </c>
      <c r="F153" s="134" t="s">
        <v>4</v>
      </c>
      <c r="G153" s="134"/>
      <c r="H153" s="134"/>
      <c r="I153" s="134"/>
      <c r="J153" s="134"/>
      <c r="K153" s="134"/>
      <c r="L153" s="134"/>
      <c r="M153" s="134" t="s">
        <v>4</v>
      </c>
      <c r="N153" s="292">
        <f>IF(AND(F153="Yes",G153="Yes",H153="Yes",I153&lt;&gt;"Yes",J153&lt;&gt;"Yes"),0.25,IF(AND(F153="Yes",G153="Yes",H153="Yes",I153="Yes",J153&lt;&gt;"Yes"),0.5,IF(AND(F153="Yes",G153="Yes",H153="Yes",I153="Yes",J153="Yes"),0.75,0)))+IF(AND(F153="Yes",G153="Yes",H153="Yes",I153="Yes",J153="Yes",E153="Outsourced core function",K153="Yes"),0.25,IF(AND(F153="Yes",G153="Yes",H153="Yes",I153="Yes",J153="Yes",E153="Product input",L153="Yes"),0.25,IF(AND(F153="Yes",G153="Yes",H153="Yes",I153="Yes",J153="Yes",E153="Ancillary spend",M153="Yes"),0.25,0)))</f>
        <v>0</v>
      </c>
      <c r="O153" s="688"/>
      <c r="P153" s="689"/>
    </row>
    <row r="154" spans="1:25" ht="19.95" hidden="1" customHeight="1" outlineLevel="1" x14ac:dyDescent="0.35">
      <c r="A154" s="9"/>
      <c r="B154" s="607" t="str">
        <f>$B$121</f>
        <v>Paper for instruction manuals</v>
      </c>
      <c r="C154" s="608" t="str">
        <f>IF('[2]Site information'!C129="","",'[2]Site information'!C129)</f>
        <v/>
      </c>
      <c r="D154" s="131">
        <f>$D$121</f>
        <v>5000</v>
      </c>
      <c r="E154" s="291" t="str">
        <f>$E$121</f>
        <v>Ancillary spend</v>
      </c>
      <c r="F154" s="134" t="s">
        <v>3</v>
      </c>
      <c r="G154" s="134" t="s">
        <v>3</v>
      </c>
      <c r="H154" s="134" t="s">
        <v>3</v>
      </c>
      <c r="I154" s="134" t="s">
        <v>3</v>
      </c>
      <c r="J154" s="134" t="s">
        <v>3</v>
      </c>
      <c r="K154" s="134" t="s">
        <v>3</v>
      </c>
      <c r="L154" s="134"/>
      <c r="M154" s="134" t="s">
        <v>4</v>
      </c>
      <c r="N154" s="292">
        <f>IF(AND(F154="Yes",G154="Yes",H154="Yes",I154&lt;&gt;"Yes",J154&lt;&gt;"Yes"),0.25,IF(AND(F154="Yes",G154="Yes",H154="Yes",I154="Yes",J154&lt;&gt;"Yes"),0.5,IF(AND(F154="Yes",G154="Yes",H154="Yes",I154="Yes",J154="Yes"),0.75,0)))+IF(AND(F154="Yes",G154="Yes",H154="Yes",I154="Yes",J154="Yes",E154="Outsourced core function",K154="Yes"),0.25,IF(AND(F154="Yes",G154="Yes",H154="Yes",I154="Yes",J154="Yes",E154="Product input",L154="Yes"),0.25,IF(AND(F154="Yes",G154="Yes",H154="Yes",I154="Yes",J154="Yes",E154="Ancillary spend",M154="Yes"),0.25,0)))</f>
        <v>0.75</v>
      </c>
      <c r="O154" s="688"/>
      <c r="P154" s="689"/>
    </row>
    <row r="155" spans="1:25" ht="19.95" hidden="1" customHeight="1" outlineLevel="1" x14ac:dyDescent="0.35">
      <c r="A155" s="9"/>
      <c r="B155" s="607" t="str">
        <f>$B$122</f>
        <v>Plastic shrink wrap</v>
      </c>
      <c r="C155" s="608"/>
      <c r="D155" s="131">
        <f>$D$122</f>
        <v>20000</v>
      </c>
      <c r="E155" s="291" t="str">
        <f>$E$122</f>
        <v>Ancillary spend</v>
      </c>
      <c r="F155" s="134" t="s">
        <v>3</v>
      </c>
      <c r="G155" s="134" t="s">
        <v>4</v>
      </c>
      <c r="H155" s="134"/>
      <c r="I155" s="134"/>
      <c r="J155" s="134"/>
      <c r="K155" s="134"/>
      <c r="L155" s="134"/>
      <c r="M155" s="134" t="s">
        <v>4</v>
      </c>
      <c r="N155" s="292">
        <f>IF(AND(F155="Yes",G155="Yes",H155="Yes",I155&lt;&gt;"Yes",J155&lt;&gt;"Yes"),0.25,IF(AND(F155="Yes",G155="Yes",H155="Yes",I155="Yes",J155&lt;&gt;"Yes"),0.5,IF(AND(F155="Yes",G155="Yes",H155="Yes",I155="Yes",J155="Yes"),0.75,0)))+IF(AND(F155="Yes",G155="Yes",H155="Yes",I155="Yes",J155="Yes",E155="Outsourced core function",K155="Yes"),0.25,IF(AND(F155="Yes",G155="Yes",H155="Yes",I155="Yes",J155="Yes",E155="Product input",L155="Yes"),0.25,IF(AND(F155="Yes",G155="Yes",H155="Yes",I155="Yes",J155="Yes",E155="Ancillary spend",M155="Yes"),0.25,0)))</f>
        <v>0</v>
      </c>
      <c r="O155" s="688"/>
      <c r="P155" s="689"/>
    </row>
    <row r="156" spans="1:25" ht="19.95" hidden="1" customHeight="1" outlineLevel="1" x14ac:dyDescent="0.35">
      <c r="A156" s="128"/>
      <c r="B156" s="686" t="str">
        <f>$B$123</f>
        <v>Wooden pallets</v>
      </c>
      <c r="C156" s="687"/>
      <c r="D156" s="132">
        <f>$D$123</f>
        <v>40000</v>
      </c>
      <c r="E156" s="291" t="str">
        <f>$E$123</f>
        <v>Ancillary spend</v>
      </c>
      <c r="F156" s="130" t="s">
        <v>3</v>
      </c>
      <c r="G156" s="130" t="s">
        <v>3</v>
      </c>
      <c r="H156" s="130" t="s">
        <v>3</v>
      </c>
      <c r="I156" s="130" t="s">
        <v>3</v>
      </c>
      <c r="J156" s="130" t="s">
        <v>3</v>
      </c>
      <c r="K156" s="130" t="s">
        <v>3</v>
      </c>
      <c r="L156" s="130"/>
      <c r="M156" s="130" t="s">
        <v>4</v>
      </c>
      <c r="N156" s="290">
        <f>IF(AND(F156="Yes",G156="Yes",H156="Yes",I156&lt;&gt;"Yes",J156&lt;&gt;"Yes"),0.25,IF(AND(F156="Yes",G156="Yes",H156="Yes",I156="Yes",J156&lt;&gt;"Yes"),0.5,IF(AND(F156="Yes",G156="Yes",H156="Yes",I156="Yes",J156="Yes"),0.75,0)))+IF(AND(F156="Yes",G156="Yes",H156="Yes",I156="Yes",J156="Yes",E156="Outsourced core function",K156="Yes"),0.25,IF(AND(F156="Yes",G156="Yes",H156="Yes",I156="Yes",J156="Yes",E156="Product input",L156="Yes"),0.25,IF(AND(F156="Yes",G156="Yes",H156="Yes",I156="Yes",J156="Yes",E156="Ancillary spend",M156="Yes"),0.25,0)))</f>
        <v>0.75</v>
      </c>
      <c r="O156" s="752"/>
      <c r="P156" s="753"/>
    </row>
    <row r="157" spans="1:25" s="1" customFormat="1" ht="19.95" hidden="1" customHeight="1" outlineLevel="1" x14ac:dyDescent="0.35">
      <c r="A157" s="128"/>
      <c r="B157" s="127" t="s">
        <v>309</v>
      </c>
      <c r="C157" s="126"/>
      <c r="D157" s="126"/>
      <c r="E157" s="11"/>
      <c r="F157" s="11"/>
      <c r="G157" s="11"/>
      <c r="H157" s="11"/>
      <c r="I157" s="11"/>
      <c r="J157" s="11"/>
      <c r="N157" s="259">
        <f>SUMPRODUCT(D152:D156,N152:N156)/SUM(D152:D156)</f>
        <v>0.66054313099041528</v>
      </c>
      <c r="O157" s="11"/>
      <c r="P157" s="11"/>
      <c r="R157" s="4"/>
      <c r="S157" s="4"/>
      <c r="T157" s="4"/>
      <c r="U157" s="4"/>
      <c r="V157" s="4"/>
      <c r="X157" s="4"/>
      <c r="Y157" s="4"/>
    </row>
    <row r="158" spans="1:25" ht="30" hidden="1" customHeight="1" outlineLevel="1" x14ac:dyDescent="0.35">
      <c r="A158" s="9"/>
      <c r="B158" s="685" t="s">
        <v>696</v>
      </c>
      <c r="C158" s="685"/>
      <c r="D158" s="685"/>
      <c r="E158" s="707" t="s">
        <v>581</v>
      </c>
      <c r="F158" s="708"/>
      <c r="G158" s="708"/>
      <c r="H158" s="708"/>
      <c r="I158" s="708"/>
      <c r="J158" s="708"/>
      <c r="K158" s="708"/>
      <c r="L158" s="708"/>
      <c r="M158" s="708"/>
      <c r="N158" s="708"/>
      <c r="O158" s="708"/>
      <c r="P158" s="709"/>
    </row>
    <row r="159" spans="1:25" ht="67.05" hidden="1" customHeight="1" outlineLevel="1" x14ac:dyDescent="0.35">
      <c r="A159" s="9"/>
      <c r="B159" s="683" t="s">
        <v>571</v>
      </c>
      <c r="C159" s="684"/>
      <c r="D159" s="344" t="s">
        <v>570</v>
      </c>
      <c r="E159" s="344" t="s">
        <v>569</v>
      </c>
      <c r="F159" s="344" t="s">
        <v>568</v>
      </c>
      <c r="G159" s="344" t="s">
        <v>178</v>
      </c>
      <c r="H159" s="344" t="s">
        <v>177</v>
      </c>
      <c r="I159" s="344" t="s">
        <v>176</v>
      </c>
      <c r="J159" s="344" t="s">
        <v>175</v>
      </c>
      <c r="K159" s="344" t="s">
        <v>174</v>
      </c>
      <c r="L159" s="344" t="s">
        <v>580</v>
      </c>
      <c r="M159" s="344" t="s">
        <v>566</v>
      </c>
      <c r="N159" s="346" t="s">
        <v>579</v>
      </c>
      <c r="O159" s="737" t="s">
        <v>5</v>
      </c>
      <c r="P159" s="709"/>
    </row>
    <row r="160" spans="1:25" ht="19.95" hidden="1" customHeight="1" outlineLevel="1" x14ac:dyDescent="0.35">
      <c r="A160" s="9"/>
      <c r="B160" s="624" t="str">
        <f>$B$119</f>
        <v>Motors</v>
      </c>
      <c r="C160" s="625"/>
      <c r="D160" s="137">
        <f>$D$119</f>
        <v>1000000</v>
      </c>
      <c r="E160" s="291" t="str">
        <f>$E$119</f>
        <v>Outsourced core function</v>
      </c>
      <c r="F160" s="136" t="s">
        <v>3</v>
      </c>
      <c r="G160" s="136" t="s">
        <v>3</v>
      </c>
      <c r="H160" s="136" t="s">
        <v>3</v>
      </c>
      <c r="I160" s="136" t="s">
        <v>4</v>
      </c>
      <c r="J160" s="136"/>
      <c r="K160" s="136"/>
      <c r="L160" s="136"/>
      <c r="M160" s="136" t="s">
        <v>3</v>
      </c>
      <c r="N160" s="293">
        <f>IF(AND(F160="Yes",G160="Yes",H160="Yes",I160&lt;&gt;"Yes",J160&lt;&gt;"Yes"),0.25,IF(AND(F160="Yes",G160="Yes",H160="Yes",I160="Yes",J160&lt;&gt;"Yes"),0.5,IF(AND(F160="Yes",G160="Yes",H160="Yes",I160="Yes",J160="Yes"),0.75,0)))+IF(AND(F160="Yes",G160="Yes",H160="Yes",I160="Yes",J160="Yes",E160="Outsourced core function",K160="Yes"),0.25,IF(AND(F160="Yes",G160="Yes",H160="Yes",I160="Yes",J160="Yes",E160="Product input",L160="Yes"),0.25,IF(AND(F160="Yes",G160="Yes",H160="Yes",I160="Yes",J160="Yes",E160="Ancillary spend",M160="Yes"),0.25,0)))</f>
        <v>0.25</v>
      </c>
      <c r="O160" s="690"/>
      <c r="P160" s="691"/>
    </row>
    <row r="161" spans="1:25" ht="19.95" hidden="1" customHeight="1" outlineLevel="1" x14ac:dyDescent="0.35">
      <c r="A161" s="9"/>
      <c r="B161" s="607" t="str">
        <f>$B$120</f>
        <v>Frames</v>
      </c>
      <c r="C161" s="608" t="str">
        <f>IF('[2]Site information'!C136="","",'[2]Site information'!C136)</f>
        <v/>
      </c>
      <c r="D161" s="131">
        <f>$D$120</f>
        <v>500000</v>
      </c>
      <c r="E161" s="291" t="str">
        <f>$E$120</f>
        <v>Product input</v>
      </c>
      <c r="F161" s="134" t="s">
        <v>3</v>
      </c>
      <c r="G161" s="134" t="s">
        <v>3</v>
      </c>
      <c r="H161" s="134" t="s">
        <v>3</v>
      </c>
      <c r="I161" s="134" t="s">
        <v>3</v>
      </c>
      <c r="J161" s="134" t="s">
        <v>3</v>
      </c>
      <c r="K161" s="134" t="s">
        <v>3</v>
      </c>
      <c r="L161" s="134"/>
      <c r="M161" s="136" t="s">
        <v>3</v>
      </c>
      <c r="N161" s="292">
        <f>IF(AND(F161="Yes",G161="Yes",H161="Yes",I161&lt;&gt;"Yes",J161&lt;&gt;"Yes"),0.25,IF(AND(F161="Yes",G161="Yes",H161="Yes",I161="Yes",J161&lt;&gt;"Yes"),0.5,IF(AND(F161="Yes",G161="Yes",H161="Yes",I161="Yes",J161="Yes"),0.75,0)))+IF(AND(F161="Yes",G161="Yes",H161="Yes",I161="Yes",J161="Yes",E161="Outsourced core function",K161="Yes"),0.25,IF(AND(F161="Yes",G161="Yes",H161="Yes",I161="Yes",J161="Yes",E161="Product input",L161="Yes"),0.25,IF(AND(F161="Yes",G161="Yes",H161="Yes",I161="Yes",J161="Yes",E161="Ancillary spend",M161="Yes"),0.25,0)))</f>
        <v>0.75</v>
      </c>
      <c r="O161" s="688"/>
      <c r="P161" s="689"/>
    </row>
    <row r="162" spans="1:25" ht="19.95" hidden="1" customHeight="1" outlineLevel="1" x14ac:dyDescent="0.35">
      <c r="A162" s="9"/>
      <c r="B162" s="607" t="str">
        <f>$B$121</f>
        <v>Paper for instruction manuals</v>
      </c>
      <c r="C162" s="608" t="str">
        <f>IF('[2]Site information'!C137="","",'[2]Site information'!C137)</f>
        <v/>
      </c>
      <c r="D162" s="131">
        <f>$D$121</f>
        <v>5000</v>
      </c>
      <c r="E162" s="291" t="str">
        <f>$E$121</f>
        <v>Ancillary spend</v>
      </c>
      <c r="F162" s="134" t="s">
        <v>3</v>
      </c>
      <c r="G162" s="134" t="s">
        <v>4</v>
      </c>
      <c r="H162" s="134"/>
      <c r="I162" s="134"/>
      <c r="J162" s="134"/>
      <c r="K162" s="134"/>
      <c r="L162" s="134"/>
      <c r="M162" s="136" t="s">
        <v>3</v>
      </c>
      <c r="N162" s="292">
        <f>IF(AND(F162="Yes",G162="Yes",H162="Yes",I162&lt;&gt;"Yes",J162&lt;&gt;"Yes"),0.25,IF(AND(F162="Yes",G162="Yes",H162="Yes",I162="Yes",J162&lt;&gt;"Yes"),0.5,IF(AND(F162="Yes",G162="Yes",H162="Yes",I162="Yes",J162="Yes"),0.75,0)))+IF(AND(F162="Yes",G162="Yes",H162="Yes",I162="Yes",J162="Yes",E162="Outsourced core function",K162="Yes"),0.25,IF(AND(F162="Yes",G162="Yes",H162="Yes",I162="Yes",J162="Yes",E162="Product input",L162="Yes"),0.25,IF(AND(F162="Yes",G162="Yes",H162="Yes",I162="Yes",J162="Yes",E162="Ancillary spend",M162="Yes"),0.25,0)))</f>
        <v>0</v>
      </c>
      <c r="O162" s="688"/>
      <c r="P162" s="689"/>
    </row>
    <row r="163" spans="1:25" ht="19.95" hidden="1" customHeight="1" outlineLevel="1" x14ac:dyDescent="0.35">
      <c r="A163" s="9"/>
      <c r="B163" s="607" t="str">
        <f>$B$122</f>
        <v>Plastic shrink wrap</v>
      </c>
      <c r="C163" s="608"/>
      <c r="D163" s="131">
        <f>$D$122</f>
        <v>20000</v>
      </c>
      <c r="E163" s="291" t="str">
        <f>$E$122</f>
        <v>Ancillary spend</v>
      </c>
      <c r="F163" s="134" t="s">
        <v>4</v>
      </c>
      <c r="G163" s="134"/>
      <c r="H163" s="134"/>
      <c r="I163" s="134"/>
      <c r="J163" s="134"/>
      <c r="K163" s="134"/>
      <c r="L163" s="134"/>
      <c r="M163" s="136"/>
      <c r="N163" s="292">
        <f>IF(AND(F163="Yes",G163="Yes",H163="Yes",I163&lt;&gt;"Yes",J163&lt;&gt;"Yes"),0.25,IF(AND(F163="Yes",G163="Yes",H163="Yes",I163="Yes",J163&lt;&gt;"Yes"),0.5,IF(AND(F163="Yes",G163="Yes",H163="Yes",I163="Yes",J163="Yes"),0.75,0)))+IF(AND(F163="Yes",G163="Yes",H163="Yes",I163="Yes",J163="Yes",E163="Outsourced core function",K163="Yes"),0.25,IF(AND(F163="Yes",G163="Yes",H163="Yes",I163="Yes",J163="Yes",E163="Product input",L163="Yes"),0.25,IF(AND(F163="Yes",G163="Yes",H163="Yes",I163="Yes",J163="Yes",E163="Ancillary spend",M163="Yes"),0.25,0)))</f>
        <v>0</v>
      </c>
      <c r="O163" s="688"/>
      <c r="P163" s="689"/>
    </row>
    <row r="164" spans="1:25" ht="19.95" hidden="1" customHeight="1" outlineLevel="1" x14ac:dyDescent="0.35">
      <c r="A164" s="128"/>
      <c r="B164" s="686" t="str">
        <f>$B$123</f>
        <v>Wooden pallets</v>
      </c>
      <c r="C164" s="687"/>
      <c r="D164" s="132">
        <f>$D$123</f>
        <v>40000</v>
      </c>
      <c r="E164" s="291" t="str">
        <f>$E$123</f>
        <v>Ancillary spend</v>
      </c>
      <c r="F164" s="130" t="s">
        <v>3</v>
      </c>
      <c r="G164" s="130" t="s">
        <v>3</v>
      </c>
      <c r="H164" s="130" t="s">
        <v>3</v>
      </c>
      <c r="I164" s="130" t="s">
        <v>3</v>
      </c>
      <c r="J164" s="130" t="s">
        <v>3</v>
      </c>
      <c r="K164" s="130" t="s">
        <v>3</v>
      </c>
      <c r="L164" s="130"/>
      <c r="M164" s="136" t="s">
        <v>3</v>
      </c>
      <c r="N164" s="290">
        <f>IF(AND(F164="Yes",G164="Yes",H164="Yes",I164&lt;&gt;"Yes",J164&lt;&gt;"Yes"),0.25,IF(AND(F164="Yes",G164="Yes",H164="Yes",I164="Yes",J164&lt;&gt;"Yes"),0.5,IF(AND(F164="Yes",G164="Yes",H164="Yes",I164="Yes",J164="Yes"),0.75,0)))+IF(AND(F164="Yes",G164="Yes",H164="Yes",I164="Yes",J164="Yes",E164="Outsourced core function",K164="Yes"),0.25,IF(AND(F164="Yes",G164="Yes",H164="Yes",I164="Yes",J164="Yes",E164="Product input",L164="Yes"),0.25,IF(AND(F164="Yes",G164="Yes",H164="Yes",I164="Yes",J164="Yes",E164="Ancillary spend",M164="Yes"),0.25,0)))</f>
        <v>1</v>
      </c>
      <c r="O164" s="752"/>
      <c r="P164" s="753"/>
    </row>
    <row r="165" spans="1:25" s="1" customFormat="1" ht="19.95" hidden="1" customHeight="1" outlineLevel="1" x14ac:dyDescent="0.35">
      <c r="A165" s="128"/>
      <c r="B165" s="127" t="s">
        <v>309</v>
      </c>
      <c r="C165" s="126"/>
      <c r="D165" s="126"/>
      <c r="E165" s="11"/>
      <c r="F165" s="11"/>
      <c r="G165" s="11"/>
      <c r="H165" s="11"/>
      <c r="I165" s="11"/>
      <c r="J165" s="11"/>
      <c r="N165" s="259">
        <f>SUMPRODUCT(D160:D164,N160:N164)/SUM(D160:D164)</f>
        <v>0.42492012779552718</v>
      </c>
      <c r="O165" s="11"/>
      <c r="P165" s="11"/>
      <c r="R165" s="4"/>
      <c r="S165" s="4"/>
      <c r="T165" s="4"/>
      <c r="U165" s="4"/>
      <c r="V165" s="4"/>
      <c r="X165" s="4"/>
      <c r="Y165" s="4"/>
    </row>
    <row r="166" spans="1:25" ht="30" hidden="1" customHeight="1" outlineLevel="1" x14ac:dyDescent="0.35">
      <c r="A166" s="9"/>
      <c r="B166" s="785" t="s">
        <v>697</v>
      </c>
      <c r="C166" s="786"/>
      <c r="D166" s="786"/>
      <c r="E166" s="707" t="s">
        <v>578</v>
      </c>
      <c r="F166" s="708"/>
      <c r="G166" s="708"/>
      <c r="H166" s="708"/>
      <c r="I166" s="708"/>
      <c r="J166" s="708"/>
      <c r="K166" s="708"/>
      <c r="L166" s="708"/>
      <c r="M166" s="708"/>
      <c r="N166" s="708"/>
      <c r="O166" s="708"/>
      <c r="P166" s="709"/>
    </row>
    <row r="167" spans="1:25" ht="67.05" hidden="1" customHeight="1" outlineLevel="1" x14ac:dyDescent="0.35">
      <c r="A167" s="9"/>
      <c r="B167" s="683" t="s">
        <v>571</v>
      </c>
      <c r="C167" s="684"/>
      <c r="D167" s="344" t="s">
        <v>570</v>
      </c>
      <c r="E167" s="344" t="s">
        <v>569</v>
      </c>
      <c r="F167" s="344" t="s">
        <v>568</v>
      </c>
      <c r="G167" s="344" t="s">
        <v>171</v>
      </c>
      <c r="H167" s="344" t="s">
        <v>170</v>
      </c>
      <c r="I167" s="344" t="s">
        <v>169</v>
      </c>
      <c r="J167" s="344" t="s">
        <v>168</v>
      </c>
      <c r="K167" s="344" t="s">
        <v>167</v>
      </c>
      <c r="L167" s="344" t="s">
        <v>577</v>
      </c>
      <c r="M167" s="344" t="s">
        <v>566</v>
      </c>
      <c r="N167" s="346" t="s">
        <v>576</v>
      </c>
      <c r="O167" s="737" t="s">
        <v>5</v>
      </c>
      <c r="P167" s="709"/>
    </row>
    <row r="168" spans="1:25" ht="19.95" hidden="1" customHeight="1" outlineLevel="1" x14ac:dyDescent="0.35">
      <c r="A168" s="9"/>
      <c r="B168" s="624" t="str">
        <f>$B$119</f>
        <v>Motors</v>
      </c>
      <c r="C168" s="625"/>
      <c r="D168" s="137">
        <f>$D$119</f>
        <v>1000000</v>
      </c>
      <c r="E168" s="291" t="str">
        <f>$E$119</f>
        <v>Outsourced core function</v>
      </c>
      <c r="F168" s="136" t="s">
        <v>3</v>
      </c>
      <c r="G168" s="136" t="s">
        <v>4</v>
      </c>
      <c r="H168" s="136" t="s">
        <v>3</v>
      </c>
      <c r="I168" s="136" t="s">
        <v>3</v>
      </c>
      <c r="J168" s="136" t="s">
        <v>3</v>
      </c>
      <c r="K168" s="136" t="s">
        <v>3</v>
      </c>
      <c r="L168" s="136"/>
      <c r="M168" s="136" t="s">
        <v>4</v>
      </c>
      <c r="N168" s="293">
        <f>IF(AND(F168="Yes",G168="Yes",H168="Yes",I168&lt;&gt;"Yes",J168&lt;&gt;"Yes"),0.25,IF(AND(F168="Yes",G168="Yes",H168="Yes",I168="Yes",J168&lt;&gt;"Yes"),0.5,IF(AND(F168="Yes",G168="Yes",H168="Yes",I168="Yes",J168="Yes"),0.75,0)))+IF(AND(F168="Yes",G168="Yes",H168="Yes",I168="Yes",J168="Yes",E168="Outsourced core function",K168="Yes"),0.25,IF(AND(F168="Yes",G168="Yes",H168="Yes",I168="Yes",J168="Yes",E168="Product input",L168="Yes"),0.25,IF(AND(F168="Yes",G168="Yes",H168="Yes",I168="Yes",J168="Yes",E168="Ancillary spend",M168="Yes"),0.25,0)))</f>
        <v>0</v>
      </c>
      <c r="O168" s="690"/>
      <c r="P168" s="691"/>
    </row>
    <row r="169" spans="1:25" ht="19.95" hidden="1" customHeight="1" outlineLevel="1" x14ac:dyDescent="0.35">
      <c r="A169" s="9"/>
      <c r="B169" s="607" t="str">
        <f>$B$120</f>
        <v>Frames</v>
      </c>
      <c r="C169" s="608" t="str">
        <f>IF('[2]Site information'!C144="","",'[2]Site information'!C144)</f>
        <v/>
      </c>
      <c r="D169" s="131">
        <f>$D$120</f>
        <v>500000</v>
      </c>
      <c r="E169" s="291" t="str">
        <f>$E$120</f>
        <v>Product input</v>
      </c>
      <c r="F169" s="134" t="s">
        <v>3</v>
      </c>
      <c r="G169" s="134" t="s">
        <v>3</v>
      </c>
      <c r="H169" s="134" t="s">
        <v>3</v>
      </c>
      <c r="I169" s="134" t="s">
        <v>3</v>
      </c>
      <c r="J169" s="134" t="s">
        <v>3</v>
      </c>
      <c r="K169" s="134" t="s">
        <v>3</v>
      </c>
      <c r="L169" s="134"/>
      <c r="M169" s="134" t="s">
        <v>3</v>
      </c>
      <c r="N169" s="292">
        <f>IF(AND(F169="Yes",G169="Yes",H169="Yes",I169&lt;&gt;"Yes",J169&lt;&gt;"Yes"),0.25,IF(AND(F169="Yes",G169="Yes",H169="Yes",I169="Yes",J169&lt;&gt;"Yes"),0.5,IF(AND(F169="Yes",G169="Yes",H169="Yes",I169="Yes",J169="Yes"),0.75,0)))+IF(AND(F169="Yes",G169="Yes",H169="Yes",I169="Yes",J169="Yes",E169="Outsourced core function",K169="Yes"),0.25,IF(AND(F169="Yes",G169="Yes",H169="Yes",I169="Yes",J169="Yes",E169="Product input",L169="Yes"),0.25,IF(AND(F169="Yes",G169="Yes",H169="Yes",I169="Yes",J169="Yes",E169="Ancillary spend",M169="Yes"),0.25,0)))</f>
        <v>0.75</v>
      </c>
      <c r="O169" s="688"/>
      <c r="P169" s="689"/>
    </row>
    <row r="170" spans="1:25" ht="19.95" hidden="1" customHeight="1" outlineLevel="1" x14ac:dyDescent="0.35">
      <c r="A170" s="9"/>
      <c r="B170" s="607" t="str">
        <f>$B$121</f>
        <v>Paper for instruction manuals</v>
      </c>
      <c r="C170" s="608" t="str">
        <f>IF('[2]Site information'!C145="","",'[2]Site information'!C145)</f>
        <v/>
      </c>
      <c r="D170" s="131">
        <f>$D$121</f>
        <v>5000</v>
      </c>
      <c r="E170" s="291" t="str">
        <f>$E$121</f>
        <v>Ancillary spend</v>
      </c>
      <c r="F170" s="134" t="s">
        <v>3</v>
      </c>
      <c r="G170" s="134" t="s">
        <v>3</v>
      </c>
      <c r="H170" s="134" t="s">
        <v>3</v>
      </c>
      <c r="I170" s="134" t="s">
        <v>3</v>
      </c>
      <c r="J170" s="134" t="s">
        <v>3</v>
      </c>
      <c r="K170" s="134" t="s">
        <v>4</v>
      </c>
      <c r="L170" s="134"/>
      <c r="M170" s="134" t="s">
        <v>4</v>
      </c>
      <c r="N170" s="292">
        <f>IF(AND(F170="Yes",G170="Yes",H170="Yes",I170&lt;&gt;"Yes",J170&lt;&gt;"Yes"),0.25,IF(AND(F170="Yes",G170="Yes",H170="Yes",I170="Yes",J170&lt;&gt;"Yes"),0.5,IF(AND(F170="Yes",G170="Yes",H170="Yes",I170="Yes",J170="Yes"),0.75,0)))+IF(AND(F170="Yes",G170="Yes",H170="Yes",I170="Yes",J170="Yes",E170="Outsourced core function",K170="Yes"),0.25,IF(AND(F170="Yes",G170="Yes",H170="Yes",I170="Yes",J170="Yes",E170="Product input",L170="Yes"),0.25,IF(AND(F170="Yes",G170="Yes",H170="Yes",I170="Yes",J170="Yes",E170="Ancillary spend",M170="Yes"),0.25,0)))</f>
        <v>0.75</v>
      </c>
      <c r="O170" s="688"/>
      <c r="P170" s="689"/>
    </row>
    <row r="171" spans="1:25" ht="19.95" hidden="1" customHeight="1" outlineLevel="1" x14ac:dyDescent="0.35">
      <c r="A171" s="9"/>
      <c r="B171" s="607" t="str">
        <f>$B$122</f>
        <v>Plastic shrink wrap</v>
      </c>
      <c r="C171" s="608"/>
      <c r="D171" s="131">
        <f>$D$122</f>
        <v>20000</v>
      </c>
      <c r="E171" s="291" t="str">
        <f>$E$122</f>
        <v>Ancillary spend</v>
      </c>
      <c r="F171" s="134" t="s">
        <v>3</v>
      </c>
      <c r="G171" s="134" t="s">
        <v>4</v>
      </c>
      <c r="H171" s="134" t="s">
        <v>3</v>
      </c>
      <c r="I171" s="134" t="s">
        <v>3</v>
      </c>
      <c r="J171" s="134" t="s">
        <v>3</v>
      </c>
      <c r="K171" s="134" t="s">
        <v>3</v>
      </c>
      <c r="L171" s="134"/>
      <c r="M171" s="134" t="s">
        <v>4</v>
      </c>
      <c r="N171" s="292">
        <f>IF(AND(F171="Yes",G171="Yes",H171="Yes",I171&lt;&gt;"Yes",J171&lt;&gt;"Yes"),0.25,IF(AND(F171="Yes",G171="Yes",H171="Yes",I171="Yes",J171&lt;&gt;"Yes"),0.5,IF(AND(F171="Yes",G171="Yes",H171="Yes",I171="Yes",J171="Yes"),0.75,0)))+IF(AND(F171="Yes",G171="Yes",H171="Yes",I171="Yes",J171="Yes",E171="Outsourced core function",K171="Yes"),0.25,IF(AND(F171="Yes",G171="Yes",H171="Yes",I171="Yes",J171="Yes",E171="Product input",L171="Yes"),0.25,IF(AND(F171="Yes",G171="Yes",H171="Yes",I171="Yes",J171="Yes",E171="Ancillary spend",M171="Yes"),0.25,0)))</f>
        <v>0</v>
      </c>
      <c r="O171" s="688"/>
      <c r="P171" s="689"/>
    </row>
    <row r="172" spans="1:25" ht="19.95" hidden="1" customHeight="1" outlineLevel="1" x14ac:dyDescent="0.35">
      <c r="A172" s="128"/>
      <c r="B172" s="686" t="str">
        <f>$B$123</f>
        <v>Wooden pallets</v>
      </c>
      <c r="C172" s="687"/>
      <c r="D172" s="132">
        <f>$D$123</f>
        <v>40000</v>
      </c>
      <c r="E172" s="291" t="str">
        <f>$E$123</f>
        <v>Ancillary spend</v>
      </c>
      <c r="F172" s="130" t="s">
        <v>3</v>
      </c>
      <c r="G172" s="130" t="s">
        <v>3</v>
      </c>
      <c r="H172" s="130" t="s">
        <v>3</v>
      </c>
      <c r="I172" s="130" t="s">
        <v>3</v>
      </c>
      <c r="J172" s="130" t="s">
        <v>3</v>
      </c>
      <c r="K172" s="130" t="s">
        <v>3</v>
      </c>
      <c r="L172" s="130"/>
      <c r="M172" s="130" t="s">
        <v>4</v>
      </c>
      <c r="N172" s="290">
        <f>IF(AND(F172="Yes",G172="Yes",H172="Yes",I172&lt;&gt;"Yes",J172&lt;&gt;"Yes"),0.25,IF(AND(F172="Yes",G172="Yes",H172="Yes",I172="Yes",J172&lt;&gt;"Yes"),0.5,IF(AND(F172="Yes",G172="Yes",H172="Yes",I172="Yes",J172="Yes"),0.75,0)))+IF(AND(F172="Yes",G172="Yes",H172="Yes",I172="Yes",J172="Yes",E172="Outsourced core function",K172="Yes"),0.25,IF(AND(F172="Yes",G172="Yes",H172="Yes",I172="Yes",J172="Yes",E172="Product input",L172="Yes"),0.25,IF(AND(F172="Yes",G172="Yes",H172="Yes",I172="Yes",J172="Yes",E172="Ancillary spend",M172="Yes"),0.25,0)))</f>
        <v>0.75</v>
      </c>
      <c r="O172" s="752"/>
      <c r="P172" s="753"/>
    </row>
    <row r="173" spans="1:25" s="1" customFormat="1" ht="19.95" hidden="1" customHeight="1" outlineLevel="1" x14ac:dyDescent="0.35">
      <c r="A173" s="128"/>
      <c r="B173" s="127" t="s">
        <v>309</v>
      </c>
      <c r="C173" s="126"/>
      <c r="D173" s="126"/>
      <c r="E173" s="11"/>
      <c r="F173" s="11"/>
      <c r="G173" s="11"/>
      <c r="H173" s="11"/>
      <c r="I173" s="11"/>
      <c r="J173" s="11"/>
      <c r="N173" s="259">
        <f>SUMPRODUCT(D168:D172,N168:N172)/SUM(D168:D172)</f>
        <v>0.26118210862619806</v>
      </c>
      <c r="O173" s="11"/>
      <c r="P173" s="11"/>
      <c r="R173" s="4"/>
      <c r="S173" s="4"/>
      <c r="T173" s="4"/>
      <c r="U173" s="4"/>
      <c r="V173" s="4"/>
      <c r="X173" s="4"/>
      <c r="Y173" s="4"/>
    </row>
    <row r="174" spans="1:25" ht="30" hidden="1" customHeight="1" outlineLevel="1" x14ac:dyDescent="0.35">
      <c r="A174" s="9"/>
      <c r="B174" s="685" t="s">
        <v>698</v>
      </c>
      <c r="C174" s="685"/>
      <c r="D174" s="685"/>
      <c r="E174" s="707" t="s">
        <v>575</v>
      </c>
      <c r="F174" s="708"/>
      <c r="G174" s="708"/>
      <c r="H174" s="708"/>
      <c r="I174" s="708"/>
      <c r="J174" s="708"/>
      <c r="K174" s="708"/>
      <c r="L174" s="708"/>
      <c r="M174" s="708"/>
      <c r="N174" s="708"/>
      <c r="O174" s="708"/>
      <c r="P174" s="709"/>
    </row>
    <row r="175" spans="1:25" ht="67.05" hidden="1" customHeight="1" outlineLevel="1" x14ac:dyDescent="0.35">
      <c r="A175" s="9"/>
      <c r="B175" s="683" t="s">
        <v>571</v>
      </c>
      <c r="C175" s="684"/>
      <c r="D175" s="344" t="s">
        <v>570</v>
      </c>
      <c r="E175" s="344" t="s">
        <v>569</v>
      </c>
      <c r="F175" s="344" t="s">
        <v>568</v>
      </c>
      <c r="G175" s="344" t="s">
        <v>164</v>
      </c>
      <c r="H175" s="344" t="s">
        <v>163</v>
      </c>
      <c r="I175" s="344" t="s">
        <v>162</v>
      </c>
      <c r="J175" s="344" t="s">
        <v>161</v>
      </c>
      <c r="K175" s="344" t="s">
        <v>160</v>
      </c>
      <c r="L175" s="344" t="s">
        <v>574</v>
      </c>
      <c r="M175" s="344" t="s">
        <v>566</v>
      </c>
      <c r="N175" s="346" t="s">
        <v>573</v>
      </c>
      <c r="O175" s="737" t="s">
        <v>5</v>
      </c>
      <c r="P175" s="709"/>
    </row>
    <row r="176" spans="1:25" ht="19.95" hidden="1" customHeight="1" outlineLevel="1" x14ac:dyDescent="0.35">
      <c r="A176" s="9"/>
      <c r="B176" s="624" t="str">
        <f>$B$119</f>
        <v>Motors</v>
      </c>
      <c r="C176" s="625"/>
      <c r="D176" s="137">
        <f>$D$119</f>
        <v>1000000</v>
      </c>
      <c r="E176" s="291" t="str">
        <f>$E$119</f>
        <v>Outsourced core function</v>
      </c>
      <c r="F176" s="136" t="s">
        <v>3</v>
      </c>
      <c r="G176" s="136" t="s">
        <v>4</v>
      </c>
      <c r="H176" s="136"/>
      <c r="I176" s="136"/>
      <c r="J176" s="136"/>
      <c r="K176" s="136"/>
      <c r="L176" s="136"/>
      <c r="M176" s="136" t="s">
        <v>4</v>
      </c>
      <c r="N176" s="293">
        <f>IF(AND(F176="Yes",G176="Yes",H176="Yes",I176&lt;&gt;"Yes",J176&lt;&gt;"Yes"),0.25,IF(AND(F176="Yes",G176="Yes",H176="Yes",I176="Yes",J176&lt;&gt;"Yes"),0.5,IF(AND(F176="Yes",G176="Yes",H176="Yes",I176="Yes",J176="Yes"),0.75,0)))+IF(AND(F176="Yes",G176="Yes",H176="Yes",I176="Yes",J176="Yes",E176="Outsourced core function",K176="Yes"),0.25,IF(AND(F176="Yes",G176="Yes",H176="Yes",I176="Yes",J176="Yes",E176="Product input",L176="Yes"),0.25,IF(AND(F176="Yes",G176="Yes",H176="Yes",I176="Yes",J176="Yes",E176="Ancillary spend",M176="Yes"),0.25,0)))</f>
        <v>0</v>
      </c>
      <c r="O176" s="690"/>
      <c r="P176" s="691"/>
    </row>
    <row r="177" spans="1:25" ht="19.95" hidden="1" customHeight="1" outlineLevel="1" x14ac:dyDescent="0.35">
      <c r="A177" s="9"/>
      <c r="B177" s="607" t="str">
        <f>$B$120</f>
        <v>Frames</v>
      </c>
      <c r="C177" s="608" t="str">
        <f>IF('[2]Site information'!C152="","",'[2]Site information'!C152)</f>
        <v/>
      </c>
      <c r="D177" s="131">
        <f>$D$120</f>
        <v>500000</v>
      </c>
      <c r="E177" s="291" t="str">
        <f>$E$120</f>
        <v>Product input</v>
      </c>
      <c r="F177" s="134" t="s">
        <v>3</v>
      </c>
      <c r="G177" s="134" t="s">
        <v>3</v>
      </c>
      <c r="H177" s="134" t="s">
        <v>3</v>
      </c>
      <c r="I177" s="134" t="s">
        <v>3</v>
      </c>
      <c r="J177" s="134" t="s">
        <v>3</v>
      </c>
      <c r="K177" s="134" t="s">
        <v>3</v>
      </c>
      <c r="L177" s="134"/>
      <c r="M177" s="134" t="s">
        <v>3</v>
      </c>
      <c r="N177" s="292">
        <f>IF(AND(F177="Yes",G177="Yes",H177="Yes",I177&lt;&gt;"Yes",J177&lt;&gt;"Yes"),0.25,IF(AND(F177="Yes",G177="Yes",H177="Yes",I177="Yes",J177&lt;&gt;"Yes"),0.5,IF(AND(F177="Yes",G177="Yes",H177="Yes",I177="Yes",J177="Yes"),0.75,0)))+IF(AND(F177="Yes",G177="Yes",H177="Yes",I177="Yes",J177="Yes",E177="Outsourced core function",K177="Yes"),0.25,IF(AND(F177="Yes",G177="Yes",H177="Yes",I177="Yes",J177="Yes",E177="Product input",L177="Yes"),0.25,IF(AND(F177="Yes",G177="Yes",H177="Yes",I177="Yes",J177="Yes",E177="Ancillary spend",M177="Yes"),0.25,0)))</f>
        <v>0.75</v>
      </c>
      <c r="O177" s="688"/>
      <c r="P177" s="689"/>
    </row>
    <row r="178" spans="1:25" ht="19.95" hidden="1" customHeight="1" outlineLevel="1" x14ac:dyDescent="0.35">
      <c r="A178" s="9"/>
      <c r="B178" s="607" t="str">
        <f>$B$121</f>
        <v>Paper for instruction manuals</v>
      </c>
      <c r="C178" s="608" t="str">
        <f>IF('[2]Site information'!C153="","",'[2]Site information'!C153)</f>
        <v/>
      </c>
      <c r="D178" s="131">
        <f>$D$121</f>
        <v>5000</v>
      </c>
      <c r="E178" s="291" t="str">
        <f>$E$121</f>
        <v>Ancillary spend</v>
      </c>
      <c r="F178" s="134" t="s">
        <v>3</v>
      </c>
      <c r="G178" s="134" t="s">
        <v>3</v>
      </c>
      <c r="H178" s="134" t="s">
        <v>3</v>
      </c>
      <c r="I178" s="134" t="s">
        <v>3</v>
      </c>
      <c r="J178" s="134" t="s">
        <v>3</v>
      </c>
      <c r="K178" s="134" t="s">
        <v>4</v>
      </c>
      <c r="L178" s="134"/>
      <c r="M178" s="134" t="s">
        <v>3</v>
      </c>
      <c r="N178" s="292">
        <f>IF(AND(F178="Yes",G178="Yes",H178="Yes",I178&lt;&gt;"Yes",J178&lt;&gt;"Yes"),0.25,IF(AND(F178="Yes",G178="Yes",H178="Yes",I178="Yes",J178&lt;&gt;"Yes"),0.5,IF(AND(F178="Yes",G178="Yes",H178="Yes",I178="Yes",J178="Yes"),0.75,0)))+IF(AND(F178="Yes",G178="Yes",H178="Yes",I178="Yes",J178="Yes",E178="Outsourced core function",K178="Yes"),0.25,IF(AND(F178="Yes",G178="Yes",H178="Yes",I178="Yes",J178="Yes",E178="Product input",L178="Yes"),0.25,IF(AND(F178="Yes",G178="Yes",H178="Yes",I178="Yes",J178="Yes",E178="Ancillary spend",M178="Yes"),0.25,0)))</f>
        <v>1</v>
      </c>
      <c r="O178" s="688"/>
      <c r="P178" s="689"/>
    </row>
    <row r="179" spans="1:25" ht="19.95" hidden="1" customHeight="1" outlineLevel="1" x14ac:dyDescent="0.35">
      <c r="A179" s="9"/>
      <c r="B179" s="607" t="str">
        <f>$B$122</f>
        <v>Plastic shrink wrap</v>
      </c>
      <c r="C179" s="608"/>
      <c r="D179" s="131">
        <f>$D$122</f>
        <v>20000</v>
      </c>
      <c r="E179" s="291" t="str">
        <f>$E$122</f>
        <v>Ancillary spend</v>
      </c>
      <c r="F179" s="134" t="s">
        <v>3</v>
      </c>
      <c r="G179" s="134" t="s">
        <v>3</v>
      </c>
      <c r="H179" s="134" t="s">
        <v>3</v>
      </c>
      <c r="I179" s="134" t="s">
        <v>3</v>
      </c>
      <c r="J179" s="134" t="s">
        <v>4</v>
      </c>
      <c r="K179" s="134"/>
      <c r="L179" s="134"/>
      <c r="M179" s="134" t="s">
        <v>3</v>
      </c>
      <c r="N179" s="292">
        <f>IF(AND(F179="Yes",G179="Yes",H179="Yes",I179&lt;&gt;"Yes",J179&lt;&gt;"Yes"),0.25,IF(AND(F179="Yes",G179="Yes",H179="Yes",I179="Yes",J179&lt;&gt;"Yes"),0.5,IF(AND(F179="Yes",G179="Yes",H179="Yes",I179="Yes",J179="Yes"),0.75,0)))+IF(AND(F179="Yes",G179="Yes",H179="Yes",I179="Yes",J179="Yes",E179="Outsourced core function",K179="Yes"),0.25,IF(AND(F179="Yes",G179="Yes",H179="Yes",I179="Yes",J179="Yes",E179="Product input",L179="Yes"),0.25,IF(AND(F179="Yes",G179="Yes",H179="Yes",I179="Yes",J179="Yes",E179="Ancillary spend",M179="Yes"),0.25,0)))</f>
        <v>0.5</v>
      </c>
      <c r="O179" s="688"/>
      <c r="P179" s="689"/>
    </row>
    <row r="180" spans="1:25" ht="19.95" hidden="1" customHeight="1" outlineLevel="1" x14ac:dyDescent="0.35">
      <c r="A180" s="128"/>
      <c r="B180" s="686" t="str">
        <f>$B$123</f>
        <v>Wooden pallets</v>
      </c>
      <c r="C180" s="687"/>
      <c r="D180" s="132">
        <f>$D$123</f>
        <v>40000</v>
      </c>
      <c r="E180" s="291" t="str">
        <f>$E$123</f>
        <v>Ancillary spend</v>
      </c>
      <c r="F180" s="130" t="s">
        <v>3</v>
      </c>
      <c r="G180" s="130" t="s">
        <v>4</v>
      </c>
      <c r="H180" s="130"/>
      <c r="I180" s="130"/>
      <c r="J180" s="130"/>
      <c r="K180" s="130"/>
      <c r="L180" s="130"/>
      <c r="M180" s="130"/>
      <c r="N180" s="290">
        <f>IF(AND(F180="Yes",G180="Yes",H180="Yes",I180&lt;&gt;"Yes",J180&lt;&gt;"Yes"),0.25,IF(AND(F180="Yes",G180="Yes",H180="Yes",I180="Yes",J180&lt;&gt;"Yes"),0.5,IF(AND(F180="Yes",G180="Yes",H180="Yes",I180="Yes",J180="Yes"),0.75,0)))+IF(AND(F180="Yes",G180="Yes",H180="Yes",I180="Yes",J180="Yes",E180="Outsourced core function",K180="Yes"),0.25,IF(AND(F180="Yes",G180="Yes",H180="Yes",I180="Yes",J180="Yes",E180="Product input",L180="Yes"),0.25,IF(AND(F180="Yes",G180="Yes",H180="Yes",I180="Yes",J180="Yes",E180="Ancillary spend",M180="Yes"),0.25,0)))</f>
        <v>0</v>
      </c>
      <c r="O180" s="752"/>
      <c r="P180" s="753"/>
    </row>
    <row r="181" spans="1:25" s="1" customFormat="1" ht="19.95" hidden="1" customHeight="1" outlineLevel="1" x14ac:dyDescent="0.35">
      <c r="A181" s="128"/>
      <c r="B181" s="127" t="s">
        <v>309</v>
      </c>
      <c r="C181" s="126"/>
      <c r="D181" s="126"/>
      <c r="E181" s="11"/>
      <c r="F181" s="11"/>
      <c r="G181" s="11"/>
      <c r="H181" s="11"/>
      <c r="I181" s="11"/>
      <c r="J181" s="11"/>
      <c r="N181" s="259">
        <f>SUMPRODUCT(D176:D180,N176:N180)/SUM(D176:D180)</f>
        <v>0.24920127795527156</v>
      </c>
      <c r="O181" s="11"/>
      <c r="P181" s="11"/>
      <c r="R181" s="4"/>
      <c r="S181" s="4"/>
      <c r="T181" s="4"/>
      <c r="U181" s="4"/>
      <c r="V181" s="4"/>
      <c r="X181" s="4"/>
      <c r="Y181" s="4"/>
    </row>
    <row r="182" spans="1:25" ht="30" hidden="1" customHeight="1" outlineLevel="1" x14ac:dyDescent="0.35">
      <c r="A182" s="9"/>
      <c r="B182" s="685" t="s">
        <v>699</v>
      </c>
      <c r="C182" s="685"/>
      <c r="D182" s="685"/>
      <c r="E182" s="707" t="s">
        <v>572</v>
      </c>
      <c r="F182" s="708"/>
      <c r="G182" s="708"/>
      <c r="H182" s="708"/>
      <c r="I182" s="708"/>
      <c r="J182" s="708"/>
      <c r="K182" s="708"/>
      <c r="L182" s="708"/>
      <c r="M182" s="708"/>
      <c r="N182" s="708"/>
      <c r="O182" s="708"/>
      <c r="P182" s="709"/>
    </row>
    <row r="183" spans="1:25" ht="67.05" hidden="1" customHeight="1" outlineLevel="1" x14ac:dyDescent="0.35">
      <c r="A183" s="9"/>
      <c r="B183" s="683" t="s">
        <v>571</v>
      </c>
      <c r="C183" s="684"/>
      <c r="D183" s="344" t="s">
        <v>570</v>
      </c>
      <c r="E183" s="344" t="s">
        <v>569</v>
      </c>
      <c r="F183" s="344" t="s">
        <v>568</v>
      </c>
      <c r="G183" s="344" t="s">
        <v>153</v>
      </c>
      <c r="H183" s="344" t="s">
        <v>152</v>
      </c>
      <c r="I183" s="344" t="s">
        <v>151</v>
      </c>
      <c r="J183" s="344" t="s">
        <v>150</v>
      </c>
      <c r="K183" s="344" t="s">
        <v>149</v>
      </c>
      <c r="L183" s="344" t="s">
        <v>567</v>
      </c>
      <c r="M183" s="344" t="s">
        <v>566</v>
      </c>
      <c r="N183" s="346" t="s">
        <v>565</v>
      </c>
      <c r="O183" s="737" t="s">
        <v>5</v>
      </c>
      <c r="P183" s="709"/>
    </row>
    <row r="184" spans="1:25" ht="19.95" hidden="1" customHeight="1" outlineLevel="1" x14ac:dyDescent="0.35">
      <c r="A184" s="9"/>
      <c r="B184" s="624" t="str">
        <f>$B$119</f>
        <v>Motors</v>
      </c>
      <c r="C184" s="625"/>
      <c r="D184" s="137">
        <f>$D$119</f>
        <v>1000000</v>
      </c>
      <c r="E184" s="291" t="str">
        <f>$E$119</f>
        <v>Outsourced core function</v>
      </c>
      <c r="F184" s="136" t="s">
        <v>3</v>
      </c>
      <c r="G184" s="136" t="s">
        <v>3</v>
      </c>
      <c r="H184" s="136" t="s">
        <v>3</v>
      </c>
      <c r="I184" s="136" t="s">
        <v>3</v>
      </c>
      <c r="J184" s="136" t="s">
        <v>3</v>
      </c>
      <c r="K184" s="136" t="s">
        <v>3</v>
      </c>
      <c r="L184" s="136"/>
      <c r="M184" s="136" t="s">
        <v>3</v>
      </c>
      <c r="N184" s="293">
        <f>IF(AND(F184="Yes",G184="Yes",H184="Yes",I184&lt;&gt;"Yes",J184&lt;&gt;"Yes"),0.25,IF(AND(F184="Yes",G184="Yes",H184="Yes",I184="Yes",J184&lt;&gt;"Yes"),0.5,IF(AND(F184="Yes",G184="Yes",H184="Yes",I184="Yes",J184="Yes"),0.75,0)))+IF(AND(F184="Yes",G184="Yes",H184="Yes",I184="Yes",J184="Yes",E184="Outsourced core function",K184="Yes"),0.25,IF(AND(F184="Yes",G184="Yes",H184="Yes",I184="Yes",J184="Yes",E184="Product input",L184="Yes"),0.25,IF(AND(F184="Yes",G184="Yes",H184="Yes",I184="Yes",J184="Yes",E184="Ancillary spend",M184="Yes"),0.25,0)))</f>
        <v>1</v>
      </c>
      <c r="O184" s="690"/>
      <c r="P184" s="691"/>
    </row>
    <row r="185" spans="1:25" ht="19.95" hidden="1" customHeight="1" outlineLevel="1" x14ac:dyDescent="0.35">
      <c r="A185" s="9"/>
      <c r="B185" s="607" t="str">
        <f>$B$120</f>
        <v>Frames</v>
      </c>
      <c r="C185" s="608" t="str">
        <f>IF('[2]Site information'!C160="","",'[2]Site information'!C160)</f>
        <v/>
      </c>
      <c r="D185" s="131">
        <f>$D$120</f>
        <v>500000</v>
      </c>
      <c r="E185" s="291" t="str">
        <f>$E$120</f>
        <v>Product input</v>
      </c>
      <c r="F185" s="134" t="s">
        <v>3</v>
      </c>
      <c r="G185" s="134" t="s">
        <v>3</v>
      </c>
      <c r="H185" s="134" t="s">
        <v>3</v>
      </c>
      <c r="I185" s="134" t="s">
        <v>3</v>
      </c>
      <c r="J185" s="134" t="s">
        <v>4</v>
      </c>
      <c r="K185" s="134"/>
      <c r="L185" s="134"/>
      <c r="M185" s="134" t="s">
        <v>3</v>
      </c>
      <c r="N185" s="292">
        <f>IF(AND(F185="Yes",G185="Yes",H185="Yes",I185&lt;&gt;"Yes",J185&lt;&gt;"Yes"),0.25,IF(AND(F185="Yes",G185="Yes",H185="Yes",I185="Yes",J185&lt;&gt;"Yes"),0.5,IF(AND(F185="Yes",G185="Yes",H185="Yes",I185="Yes",J185="Yes"),0.75,0)))+IF(AND(F185="Yes",G185="Yes",H185="Yes",I185="Yes",J185="Yes",E185="Outsourced core function",K185="Yes"),0.25,IF(AND(F185="Yes",G185="Yes",H185="Yes",I185="Yes",J185="Yes",E185="Product input",L185="Yes"),0.25,IF(AND(F185="Yes",G185="Yes",H185="Yes",I185="Yes",J185="Yes",E185="Ancillary spend",M185="Yes"),0.25,0)))</f>
        <v>0.5</v>
      </c>
      <c r="O185" s="688"/>
      <c r="P185" s="689"/>
    </row>
    <row r="186" spans="1:25" ht="19.95" hidden="1" customHeight="1" outlineLevel="1" x14ac:dyDescent="0.35">
      <c r="A186" s="9"/>
      <c r="B186" s="607" t="str">
        <f>$B$121</f>
        <v>Paper for instruction manuals</v>
      </c>
      <c r="C186" s="608" t="str">
        <f>IF('[2]Site information'!C161="","",'[2]Site information'!C161)</f>
        <v/>
      </c>
      <c r="D186" s="131">
        <f>$D$121</f>
        <v>5000</v>
      </c>
      <c r="E186" s="291" t="str">
        <f>$E$121</f>
        <v>Ancillary spend</v>
      </c>
      <c r="F186" s="134" t="s">
        <v>3</v>
      </c>
      <c r="G186" s="134" t="s">
        <v>3</v>
      </c>
      <c r="H186" s="134" t="s">
        <v>3</v>
      </c>
      <c r="I186" s="134" t="s">
        <v>3</v>
      </c>
      <c r="J186" s="134" t="s">
        <v>3</v>
      </c>
      <c r="K186" s="134" t="s">
        <v>3</v>
      </c>
      <c r="L186" s="134"/>
      <c r="M186" s="134" t="s">
        <v>3</v>
      </c>
      <c r="N186" s="292">
        <f>IF(AND(F186="Yes",G186="Yes",H186="Yes",I186&lt;&gt;"Yes",J186&lt;&gt;"Yes"),0.25,IF(AND(F186="Yes",G186="Yes",H186="Yes",I186="Yes",J186&lt;&gt;"Yes"),0.5,IF(AND(F186="Yes",G186="Yes",H186="Yes",I186="Yes",J186="Yes"),0.75,0)))+IF(AND(F186="Yes",G186="Yes",H186="Yes",I186="Yes",J186="Yes",E186="Outsourced core function",K186="Yes"),0.25,IF(AND(F186="Yes",G186="Yes",H186="Yes",I186="Yes",J186="Yes",E186="Product input",L186="Yes"),0.25,IF(AND(F186="Yes",G186="Yes",H186="Yes",I186="Yes",J186="Yes",E186="Ancillary spend",M186="Yes"),0.25,0)))</f>
        <v>1</v>
      </c>
      <c r="O186" s="688"/>
      <c r="P186" s="689"/>
    </row>
    <row r="187" spans="1:25" ht="19.95" hidden="1" customHeight="1" outlineLevel="1" x14ac:dyDescent="0.35">
      <c r="A187" s="9"/>
      <c r="B187" s="607" t="str">
        <f>$B$122</f>
        <v>Plastic shrink wrap</v>
      </c>
      <c r="C187" s="608"/>
      <c r="D187" s="131">
        <f>$D$122</f>
        <v>20000</v>
      </c>
      <c r="E187" s="291" t="str">
        <f>$E$122</f>
        <v>Ancillary spend</v>
      </c>
      <c r="F187" s="134" t="s">
        <v>3</v>
      </c>
      <c r="G187" s="134" t="s">
        <v>3</v>
      </c>
      <c r="H187" s="134" t="s">
        <v>4</v>
      </c>
      <c r="I187" s="134" t="s">
        <v>3</v>
      </c>
      <c r="J187" s="134" t="s">
        <v>3</v>
      </c>
      <c r="K187" s="134" t="s">
        <v>3</v>
      </c>
      <c r="L187" s="134"/>
      <c r="M187" s="134" t="s">
        <v>3</v>
      </c>
      <c r="N187" s="292">
        <f>IF(AND(F187="Yes",G187="Yes",H187="Yes",I187&lt;&gt;"Yes",J187&lt;&gt;"Yes"),0.25,IF(AND(F187="Yes",G187="Yes",H187="Yes",I187="Yes",J187&lt;&gt;"Yes"),0.5,IF(AND(F187="Yes",G187="Yes",H187="Yes",I187="Yes",J187="Yes"),0.75,0)))+IF(AND(F187="Yes",G187="Yes",H187="Yes",I187="Yes",J187="Yes",E187="Outsourced core function",K187="Yes"),0.25,IF(AND(F187="Yes",G187="Yes",H187="Yes",I187="Yes",J187="Yes",E187="Product input",L187="Yes"),0.25,IF(AND(F187="Yes",G187="Yes",H187="Yes",I187="Yes",J187="Yes",E187="Ancillary spend",M187="Yes"),0.25,0)))</f>
        <v>0</v>
      </c>
      <c r="O187" s="688"/>
      <c r="P187" s="689"/>
    </row>
    <row r="188" spans="1:25" ht="19.95" hidden="1" customHeight="1" outlineLevel="1" x14ac:dyDescent="0.35">
      <c r="A188" s="128"/>
      <c r="B188" s="686" t="str">
        <f>$B$123</f>
        <v>Wooden pallets</v>
      </c>
      <c r="C188" s="687"/>
      <c r="D188" s="132">
        <f>$D$123</f>
        <v>40000</v>
      </c>
      <c r="E188" s="291" t="str">
        <f>$E$123</f>
        <v>Ancillary spend</v>
      </c>
      <c r="F188" s="130" t="s">
        <v>3</v>
      </c>
      <c r="G188" s="130" t="s">
        <v>4</v>
      </c>
      <c r="H188" s="130"/>
      <c r="I188" s="130"/>
      <c r="J188" s="130"/>
      <c r="K188" s="130"/>
      <c r="L188" s="130"/>
      <c r="M188" s="130" t="s">
        <v>3</v>
      </c>
      <c r="N188" s="290">
        <f>IF(AND(F188="Yes",G188="Yes",H188="Yes",I188&lt;&gt;"Yes",J188&lt;&gt;"Yes"),0.25,IF(AND(F188="Yes",G188="Yes",H188="Yes",I188="Yes",J188&lt;&gt;"Yes"),0.5,IF(AND(F188="Yes",G188="Yes",H188="Yes",I188="Yes",J188="Yes"),0.75,0)))+IF(AND(F188="Yes",G188="Yes",H188="Yes",I188="Yes",J188="Yes",E188="Outsourced core function",K188="Yes"),0.25,IF(AND(F188="Yes",G188="Yes",H188="Yes",I188="Yes",J188="Yes",E188="Product input",L188="Yes"),0.25,IF(AND(F188="Yes",G188="Yes",H188="Yes",I188="Yes",J188="Yes",E188="Ancillary spend",M188="Yes"),0.25,0)))</f>
        <v>0</v>
      </c>
      <c r="O188" s="752"/>
      <c r="P188" s="753"/>
    </row>
    <row r="189" spans="1:25" s="1" customFormat="1" ht="19.95" hidden="1" customHeight="1" outlineLevel="1" x14ac:dyDescent="0.35">
      <c r="A189" s="128"/>
      <c r="B189" s="127" t="s">
        <v>309</v>
      </c>
      <c r="C189" s="126"/>
      <c r="D189" s="126"/>
      <c r="E189" s="11"/>
      <c r="F189" s="11"/>
      <c r="G189" s="11"/>
      <c r="H189" s="11"/>
      <c r="I189" s="11"/>
      <c r="J189" s="11"/>
      <c r="N189" s="259">
        <f>SUMPRODUCT(D184:D188,N184:N188)/SUM(D184:D188)</f>
        <v>0.80191693290734822</v>
      </c>
      <c r="O189" s="11"/>
      <c r="P189" s="11"/>
      <c r="R189" s="4"/>
      <c r="S189" s="4"/>
      <c r="T189" s="4"/>
      <c r="U189" s="4"/>
      <c r="V189" s="4"/>
      <c r="X189" s="4"/>
      <c r="Y189" s="4"/>
    </row>
    <row r="190" spans="1:25" ht="15" customHeight="1" collapsed="1" x14ac:dyDescent="0.35"/>
    <row r="191" spans="1:25" ht="25.05" customHeight="1" x14ac:dyDescent="0.35">
      <c r="A191" s="9"/>
      <c r="B191" s="739" t="s">
        <v>564</v>
      </c>
      <c r="C191" s="740"/>
      <c r="D191" s="740"/>
      <c r="E191" s="740"/>
      <c r="F191" s="741"/>
      <c r="G191" s="331" t="s">
        <v>563</v>
      </c>
      <c r="H191" s="289">
        <f>$G$204</f>
        <v>0.69795918367346943</v>
      </c>
      <c r="I191" s="605" t="s">
        <v>562</v>
      </c>
      <c r="J191" s="705">
        <f>IF(H191+H192+H193=3,1,((H191*F204)+(H192*I204)+(H193*L204))/(F204+I204+L204))</f>
        <v>0.62663805616757784</v>
      </c>
      <c r="K191" s="1"/>
      <c r="L191" s="1"/>
      <c r="M191" s="1"/>
      <c r="N191" s="1"/>
      <c r="O191" s="1"/>
      <c r="P191" s="1"/>
    </row>
    <row r="192" spans="1:25" ht="25.05" customHeight="1" x14ac:dyDescent="0.35">
      <c r="A192" s="9"/>
      <c r="B192" s="652"/>
      <c r="C192" s="653"/>
      <c r="D192" s="653"/>
      <c r="E192" s="653"/>
      <c r="F192" s="654"/>
      <c r="G192" s="333" t="s">
        <v>561</v>
      </c>
      <c r="H192" s="289">
        <f>$J$204</f>
        <v>0.68083900226757366</v>
      </c>
      <c r="I192" s="738"/>
      <c r="J192" s="706"/>
      <c r="K192" s="1"/>
      <c r="L192" s="1"/>
      <c r="M192" s="1"/>
      <c r="N192" s="1"/>
      <c r="O192" s="1"/>
      <c r="P192" s="1"/>
    </row>
    <row r="193" spans="1:20" ht="25.05" customHeight="1" x14ac:dyDescent="0.35">
      <c r="A193" s="9"/>
      <c r="B193" s="652"/>
      <c r="C193" s="653"/>
      <c r="D193" s="653"/>
      <c r="E193" s="653"/>
      <c r="F193" s="654"/>
      <c r="G193" s="332" t="s">
        <v>560</v>
      </c>
      <c r="H193" s="289">
        <f>$M$204</f>
        <v>0.4</v>
      </c>
      <c r="I193" s="606"/>
      <c r="J193" s="706"/>
      <c r="K193" s="1"/>
      <c r="L193" s="1"/>
      <c r="M193" s="1"/>
      <c r="N193" s="1"/>
      <c r="O193" s="1"/>
      <c r="P193" s="1"/>
    </row>
    <row r="194" spans="1:20" ht="94.5" hidden="1" customHeight="1" outlineLevel="1" x14ac:dyDescent="0.35">
      <c r="A194" s="9"/>
      <c r="B194" s="528" t="s">
        <v>559</v>
      </c>
      <c r="C194" s="527"/>
      <c r="D194" s="527"/>
      <c r="E194" s="527"/>
      <c r="F194" s="527"/>
      <c r="G194" s="527"/>
      <c r="H194" s="527"/>
      <c r="I194" s="527"/>
      <c r="J194" s="565"/>
      <c r="K194" s="1"/>
      <c r="L194" s="1"/>
      <c r="M194" s="1"/>
      <c r="N194" s="1"/>
      <c r="O194" s="1"/>
      <c r="P194" s="1"/>
    </row>
    <row r="195" spans="1:20" ht="133.5" hidden="1" customHeight="1" outlineLevel="1" x14ac:dyDescent="0.35">
      <c r="A195" s="9"/>
      <c r="B195" s="528"/>
      <c r="C195" s="527"/>
      <c r="D195" s="527"/>
      <c r="E195" s="527"/>
      <c r="F195" s="527"/>
      <c r="G195" s="527"/>
      <c r="H195" s="527"/>
      <c r="I195" s="527"/>
      <c r="J195" s="565"/>
      <c r="K195" s="1"/>
      <c r="L195" s="1"/>
      <c r="M195" s="1"/>
      <c r="N195" s="1"/>
      <c r="O195" s="1"/>
      <c r="P195" s="1"/>
    </row>
    <row r="196" spans="1:20" ht="25.05" hidden="1" customHeight="1" outlineLevel="1" x14ac:dyDescent="0.35">
      <c r="A196" s="10"/>
      <c r="B196" s="636" t="s">
        <v>222</v>
      </c>
      <c r="C196" s="637"/>
      <c r="D196" s="637"/>
      <c r="E196" s="637"/>
      <c r="F196" s="637"/>
      <c r="G196" s="637"/>
      <c r="H196" s="637"/>
      <c r="I196" s="637"/>
      <c r="J196" s="638"/>
      <c r="K196" s="1"/>
      <c r="L196" s="1"/>
      <c r="M196" s="1"/>
      <c r="N196" s="6"/>
      <c r="O196" s="6"/>
    </row>
    <row r="197" spans="1:20" ht="25.5" hidden="1" customHeight="1" outlineLevel="1" x14ac:dyDescent="0.35">
      <c r="A197" s="9"/>
      <c r="B197" s="662" t="s">
        <v>423</v>
      </c>
      <c r="C197" s="745"/>
      <c r="D197" s="663"/>
      <c r="E197" s="668" t="s">
        <v>558</v>
      </c>
      <c r="F197" s="763"/>
      <c r="G197" s="669"/>
      <c r="H197" s="668" t="s">
        <v>557</v>
      </c>
      <c r="I197" s="763"/>
      <c r="J197" s="669"/>
      <c r="K197" s="668" t="s">
        <v>556</v>
      </c>
      <c r="L197" s="763"/>
      <c r="M197" s="669"/>
      <c r="N197" s="662" t="s">
        <v>555</v>
      </c>
      <c r="O197" s="663"/>
      <c r="S197" s="1"/>
      <c r="T197" s="1"/>
    </row>
    <row r="198" spans="1:20" ht="37.950000000000003" hidden="1" customHeight="1" outlineLevel="1" x14ac:dyDescent="0.35">
      <c r="A198" s="9"/>
      <c r="B198" s="666"/>
      <c r="C198" s="746"/>
      <c r="D198" s="667"/>
      <c r="E198" s="336" t="s">
        <v>554</v>
      </c>
      <c r="F198" s="336" t="s">
        <v>553</v>
      </c>
      <c r="G198" s="337" t="s">
        <v>552</v>
      </c>
      <c r="H198" s="336" t="s">
        <v>551</v>
      </c>
      <c r="I198" s="336" t="s">
        <v>550</v>
      </c>
      <c r="J198" s="337" t="s">
        <v>549</v>
      </c>
      <c r="K198" s="336" t="s">
        <v>548</v>
      </c>
      <c r="L198" s="336" t="s">
        <v>547</v>
      </c>
      <c r="M198" s="339" t="s">
        <v>546</v>
      </c>
      <c r="N198" s="666"/>
      <c r="O198" s="667"/>
      <c r="S198" s="1"/>
      <c r="T198" s="1"/>
    </row>
    <row r="199" spans="1:20" ht="19.95" hidden="1" customHeight="1" outlineLevel="1" x14ac:dyDescent="0.35">
      <c r="A199" s="9"/>
      <c r="B199" s="624" t="str">
        <f>'Company Profile'!$B$24</f>
        <v>Jonesville plant</v>
      </c>
      <c r="C199" s="625"/>
      <c r="D199" s="635"/>
      <c r="E199" s="288">
        <v>2000</v>
      </c>
      <c r="F199" s="288">
        <v>500</v>
      </c>
      <c r="G199" s="285">
        <f>IF(F199&gt;E199,0,IF(E199="",0,IF(F199="",0,IF(E199-F199=0,1,(E199-F199)/E199))))</f>
        <v>0.75</v>
      </c>
      <c r="H199" s="288">
        <v>8000</v>
      </c>
      <c r="I199" s="288">
        <v>2000</v>
      </c>
      <c r="J199" s="285">
        <f>IF(I199&gt;H199,0,IF(H199="",0,IF(I199="",0,IF(H199-I199=0,1,(H199-I199)/H199))))</f>
        <v>0.75</v>
      </c>
      <c r="K199" s="288">
        <v>1000</v>
      </c>
      <c r="L199" s="288">
        <v>800</v>
      </c>
      <c r="M199" s="285">
        <f>IF(L199&gt;K199,0,IF(K199="",0,IF(L199="",0,IF(K199-L199=0,1,(K199-L199)/K199))))</f>
        <v>0.2</v>
      </c>
      <c r="N199" s="672"/>
      <c r="O199" s="673"/>
      <c r="S199" s="1"/>
      <c r="T199" s="1"/>
    </row>
    <row r="200" spans="1:20" ht="19.95" hidden="1" customHeight="1" outlineLevel="1" x14ac:dyDescent="0.35">
      <c r="A200" s="9"/>
      <c r="B200" s="607" t="str">
        <f>'Company Profile'!$B$25</f>
        <v>Smithtown warehouse</v>
      </c>
      <c r="C200" s="608" t="str">
        <f>IF('[2]Site information'!C180="","",'[2]Site information'!C180)</f>
        <v/>
      </c>
      <c r="D200" s="609" t="str">
        <f>IF('[2]Site information'!D180="","",'[2]Site information'!D180)</f>
        <v/>
      </c>
      <c r="E200" s="287">
        <v>400</v>
      </c>
      <c r="F200" s="287">
        <v>200</v>
      </c>
      <c r="G200" s="285">
        <f>IF(F200&gt;E200,0,IF(E200="",0,IF(F200="",0,IF(E200-F200=0,1,(E200-F200)/E200))))</f>
        <v>0.5</v>
      </c>
      <c r="H200" s="287">
        <v>800</v>
      </c>
      <c r="I200" s="287">
        <v>900</v>
      </c>
      <c r="J200" s="285">
        <f>IF(I200&gt;H200,0,IF(H200="",0,IF(I200="",0,IF(H200-I200=0,1,(H200-I200)/H200))))</f>
        <v>0</v>
      </c>
      <c r="K200" s="287">
        <v>500</v>
      </c>
      <c r="L200" s="287">
        <v>100</v>
      </c>
      <c r="M200" s="285">
        <f>IF(L200&gt;K200,0,IF(K200="",0,IF(L200="",0,IF(K200-L200=0,1,(K200-L200)/K200))))</f>
        <v>0.8</v>
      </c>
      <c r="N200" s="670"/>
      <c r="O200" s="671"/>
      <c r="S200" s="1"/>
      <c r="T200" s="1"/>
    </row>
    <row r="201" spans="1:20" ht="19.95" hidden="1" customHeight="1" outlineLevel="1" x14ac:dyDescent="0.35">
      <c r="A201" s="9"/>
      <c r="B201" s="607" t="str">
        <f>'Company Profile'!$B$26</f>
        <v>Brocktown office</v>
      </c>
      <c r="C201" s="608" t="str">
        <f>IF('[2]Site information'!C181="","",'[2]Site information'!C181)</f>
        <v/>
      </c>
      <c r="D201" s="609" t="str">
        <f>IF('[2]Site information'!D181="","",'[2]Site information'!D181)</f>
        <v/>
      </c>
      <c r="E201" s="287"/>
      <c r="F201" s="287"/>
      <c r="G201" s="285">
        <f>IF(F201&gt;E201,0,IF(E201="",0,IF(F201="",0,IF(E201-F201=0,1,(E201-F201)/E201))))</f>
        <v>0</v>
      </c>
      <c r="H201" s="287"/>
      <c r="I201" s="287"/>
      <c r="J201" s="285">
        <f>IF(I201&gt;H201,0,IF(H201="",0,IF(I201="",0,IF(H201-I201=0,1,(H201-I201)/H201))))</f>
        <v>0</v>
      </c>
      <c r="K201" s="287"/>
      <c r="L201" s="287"/>
      <c r="M201" s="285">
        <f>IF(L201&gt;K201,0,IF(K201="",0,IF(L201="",0,IF(K201-L201=0,1,(K201-L201)/K201))))</f>
        <v>0</v>
      </c>
      <c r="N201" s="670"/>
      <c r="O201" s="671"/>
      <c r="S201" s="1"/>
      <c r="T201" s="1"/>
    </row>
    <row r="202" spans="1:20" ht="19.95" hidden="1" customHeight="1" outlineLevel="1" x14ac:dyDescent="0.35">
      <c r="A202" s="9"/>
      <c r="B202" s="607" t="str">
        <f>'Company Profile'!$B$27</f>
        <v>Edenville office</v>
      </c>
      <c r="C202" s="608"/>
      <c r="D202" s="609"/>
      <c r="E202" s="287"/>
      <c r="F202" s="287"/>
      <c r="G202" s="285">
        <f>IF(F202&gt;E202,0,IF(E202="",0,IF(F202="",0,IF(E202-F202=0,1,(E202-F202)/E202))))</f>
        <v>0</v>
      </c>
      <c r="H202" s="287"/>
      <c r="I202" s="287"/>
      <c r="J202" s="285">
        <f>IF(I202&gt;H202,0,IF(H202="",0,IF(I202="",0,IF(H202-I202=0,1,(H202-I202)/H202))))</f>
        <v>0</v>
      </c>
      <c r="K202" s="287"/>
      <c r="L202" s="287"/>
      <c r="M202" s="285">
        <f>IF(L202&gt;K202,0,IF(K202="",0,IF(L202="",0,IF(K202-L202=0,1,(K202-L202)/K202))))</f>
        <v>0</v>
      </c>
      <c r="N202" s="670"/>
      <c r="O202" s="671"/>
      <c r="S202" s="1"/>
      <c r="T202" s="1"/>
    </row>
    <row r="203" spans="1:20" ht="19.95" hidden="1" customHeight="1" outlineLevel="1" x14ac:dyDescent="0.35">
      <c r="A203" s="733"/>
      <c r="B203" s="607" t="str">
        <f>'Company Profile'!$B$28</f>
        <v>HQ</v>
      </c>
      <c r="C203" s="608"/>
      <c r="D203" s="609"/>
      <c r="E203" s="286">
        <v>50</v>
      </c>
      <c r="F203" s="286">
        <v>40</v>
      </c>
      <c r="G203" s="285">
        <f>IF(F203&gt;E203,0,IF(E203="",0,IF(F203="",0,IF(E203-F203=0,1,(E203-F203)/E203))))</f>
        <v>0.2</v>
      </c>
      <c r="H203" s="286">
        <v>20</v>
      </c>
      <c r="I203" s="286">
        <v>15</v>
      </c>
      <c r="J203" s="285">
        <f>IF(I203&gt;H203,0,IF(H203="",0,IF(I203="",0,IF(H203-I203=0,1,(H203-I203)/H203))))</f>
        <v>0.25</v>
      </c>
      <c r="K203" s="286">
        <v>50</v>
      </c>
      <c r="L203" s="286">
        <v>30</v>
      </c>
      <c r="M203" s="285">
        <f>IF(L203&gt;K203,0,IF(K203="",0,IF(L203="",0,IF(K203-L203=0,1,(K203-L203)/K203))))</f>
        <v>0.4</v>
      </c>
      <c r="N203" s="718"/>
      <c r="O203" s="719"/>
      <c r="S203" s="1"/>
      <c r="T203" s="1"/>
    </row>
    <row r="204" spans="1:20" s="1" customFormat="1" ht="19.95" hidden="1" customHeight="1" outlineLevel="1" x14ac:dyDescent="0.35">
      <c r="A204" s="733"/>
      <c r="B204" s="127" t="s">
        <v>309</v>
      </c>
      <c r="C204" s="126"/>
      <c r="D204" s="170"/>
      <c r="F204" s="184">
        <f>SUM(F199:F203)</f>
        <v>740</v>
      </c>
      <c r="G204" s="259">
        <f>IF(F204=0,1,IF(SUM(F199:F203)&gt;SUM(E199:E203),0,IF(SUM(E199:E203)=0,"",SUMPRODUCT(E199:E203,G199:G203)/SUMPRODUCT(E199:E203))))</f>
        <v>0.69795918367346943</v>
      </c>
      <c r="I204" s="184">
        <f>SUM(I199:I203)</f>
        <v>2915</v>
      </c>
      <c r="J204" s="259">
        <f>IF(I204=0,1,IF(SUM(I199:I203)&gt;SUM(H199:H203),0,IF(SUM(H199:H203)=0,"",SUMPRODUCT(H199:H203,J199:J203)/SUMPRODUCT(H199:H203))))</f>
        <v>0.68083900226757366</v>
      </c>
      <c r="L204" s="184">
        <f>SUM(L199:L203)</f>
        <v>930</v>
      </c>
      <c r="M204" s="259">
        <f>IF(L204=0,1,IF(SUM(L199:L203)&gt;SUM(K199:K203),0,IF(SUM(K199:K203)=0,"",SUMPRODUCT(K199:K203,M199:M203)/SUMPRODUCT(K199:K203))))</f>
        <v>0.4</v>
      </c>
      <c r="N204" s="284" t="s">
        <v>545</v>
      </c>
      <c r="O204" s="283">
        <f>F204+I204+L204</f>
        <v>4585</v>
      </c>
    </row>
    <row r="205" spans="1:20" ht="15" customHeight="1" collapsed="1" x14ac:dyDescent="0.35">
      <c r="G205" s="7"/>
      <c r="H205" s="7"/>
      <c r="I205" s="7"/>
    </row>
    <row r="206" spans="1:20" ht="25.05" customHeight="1" x14ac:dyDescent="0.35">
      <c r="A206" s="9"/>
      <c r="B206" s="739" t="s">
        <v>544</v>
      </c>
      <c r="C206" s="740"/>
      <c r="D206" s="740"/>
      <c r="E206" s="740"/>
      <c r="F206" s="740"/>
      <c r="G206" s="740"/>
      <c r="H206" s="741"/>
      <c r="I206" s="605" t="s">
        <v>543</v>
      </c>
      <c r="J206" s="705">
        <f>$I$216</f>
        <v>0.29853228962818001</v>
      </c>
      <c r="K206" s="1"/>
      <c r="L206" s="1"/>
      <c r="M206" s="1"/>
      <c r="N206" s="1"/>
      <c r="O206" s="1"/>
      <c r="P206" s="1"/>
    </row>
    <row r="207" spans="1:20" ht="25.05" customHeight="1" x14ac:dyDescent="0.35">
      <c r="A207" s="9"/>
      <c r="B207" s="742"/>
      <c r="C207" s="743"/>
      <c r="D207" s="743"/>
      <c r="E207" s="743"/>
      <c r="F207" s="743"/>
      <c r="G207" s="743"/>
      <c r="H207" s="744"/>
      <c r="I207" s="606"/>
      <c r="J207" s="706"/>
      <c r="K207" s="1"/>
      <c r="L207" s="1"/>
      <c r="M207" s="1"/>
      <c r="N207" s="1"/>
      <c r="O207" s="1"/>
      <c r="P207" s="1"/>
    </row>
    <row r="208" spans="1:20" ht="105.45" hidden="1" customHeight="1" outlineLevel="1" x14ac:dyDescent="0.35">
      <c r="A208" s="9"/>
      <c r="B208" s="528" t="s">
        <v>542</v>
      </c>
      <c r="C208" s="527"/>
      <c r="D208" s="527"/>
      <c r="E208" s="527"/>
      <c r="F208" s="527"/>
      <c r="G208" s="527"/>
      <c r="H208" s="527"/>
      <c r="I208" s="527"/>
      <c r="J208" s="565"/>
      <c r="K208" s="1"/>
      <c r="L208" s="1"/>
      <c r="M208" s="1"/>
      <c r="O208" s="1"/>
      <c r="P208" s="1"/>
    </row>
    <row r="209" spans="1:20" ht="25.05" hidden="1" customHeight="1" outlineLevel="1" x14ac:dyDescent="0.35">
      <c r="A209" s="10"/>
      <c r="B209" s="850" t="s">
        <v>222</v>
      </c>
      <c r="C209" s="851"/>
      <c r="D209" s="851"/>
      <c r="E209" s="851"/>
      <c r="F209" s="851"/>
      <c r="G209" s="851"/>
      <c r="H209" s="851"/>
      <c r="I209" s="851"/>
      <c r="J209" s="852"/>
      <c r="K209" s="1"/>
      <c r="L209" s="1"/>
      <c r="M209" s="1"/>
      <c r="N209" s="6"/>
      <c r="O209" s="6"/>
    </row>
    <row r="210" spans="1:20" ht="37.950000000000003" hidden="1" customHeight="1" outlineLevel="1" x14ac:dyDescent="0.35">
      <c r="A210" s="9"/>
      <c r="B210" s="707" t="s">
        <v>423</v>
      </c>
      <c r="C210" s="708"/>
      <c r="D210" s="709"/>
      <c r="E210" s="342" t="s">
        <v>541</v>
      </c>
      <c r="F210" s="336" t="s">
        <v>540</v>
      </c>
      <c r="G210" s="343" t="s">
        <v>539</v>
      </c>
      <c r="H210" s="347" t="s">
        <v>538</v>
      </c>
      <c r="I210" s="337" t="s">
        <v>537</v>
      </c>
      <c r="J210" s="666" t="s">
        <v>5</v>
      </c>
      <c r="K210" s="667"/>
      <c r="M210" s="1"/>
      <c r="N210" s="1"/>
      <c r="O210" s="1"/>
      <c r="P210" s="1"/>
      <c r="Q210" s="1"/>
      <c r="R210" s="1"/>
      <c r="S210" s="1"/>
      <c r="T210" s="1"/>
    </row>
    <row r="211" spans="1:20" ht="19.95" hidden="1" customHeight="1" outlineLevel="1" x14ac:dyDescent="0.35">
      <c r="A211" s="9"/>
      <c r="B211" s="624" t="str">
        <f>'Company Profile'!$B$24</f>
        <v>Jonesville plant</v>
      </c>
      <c r="C211" s="625"/>
      <c r="D211" s="635"/>
      <c r="E211" s="282" t="s">
        <v>536</v>
      </c>
      <c r="F211" s="279">
        <v>500000</v>
      </c>
      <c r="G211" s="279">
        <v>350000</v>
      </c>
      <c r="H211" s="279">
        <v>250</v>
      </c>
      <c r="I211" s="228">
        <f>IF(E211="Yes",1,IF(F211=0,"",IF(E211="Yes",1,IF(G211-H211&gt;F211,0,(F211-(G211-H211)))/F211)))</f>
        <v>0.30049999999999999</v>
      </c>
      <c r="J211" s="672"/>
      <c r="K211" s="673"/>
      <c r="M211" s="1"/>
      <c r="N211" s="1"/>
      <c r="O211" s="1"/>
      <c r="P211" s="1"/>
      <c r="Q211" s="1"/>
      <c r="R211" s="1"/>
      <c r="S211" s="1"/>
      <c r="T211" s="1"/>
    </row>
    <row r="212" spans="1:20" ht="19.95" hidden="1" customHeight="1" outlineLevel="1" x14ac:dyDescent="0.35">
      <c r="A212" s="9"/>
      <c r="B212" s="607" t="str">
        <f>'Company Profile'!$B$25</f>
        <v>Smithtown warehouse</v>
      </c>
      <c r="C212" s="608" t="str">
        <f>IF('[2]Site information'!C192="","",'[2]Site information'!C192)</f>
        <v/>
      </c>
      <c r="D212" s="609" t="str">
        <f>IF('[2]Site information'!D192="","",'[2]Site information'!D192)</f>
        <v/>
      </c>
      <c r="E212" s="281" t="s">
        <v>536</v>
      </c>
      <c r="F212" s="278">
        <v>6000</v>
      </c>
      <c r="G212" s="278">
        <v>5000</v>
      </c>
      <c r="H212" s="278">
        <v>200</v>
      </c>
      <c r="I212" s="226">
        <f>IF(E212="Yes",1,IF(F212=0,"",IF(E212="Yes",1,IF(G212-H212&gt;F212,0,(F212-(G212-H212)))/F212)))</f>
        <v>0.2</v>
      </c>
      <c r="J212" s="670"/>
      <c r="K212" s="671"/>
      <c r="M212" s="1"/>
      <c r="N212" s="1"/>
      <c r="O212" s="1"/>
      <c r="P212" s="1"/>
      <c r="Q212" s="1"/>
      <c r="R212" s="1"/>
      <c r="S212" s="1"/>
      <c r="T212" s="1"/>
    </row>
    <row r="213" spans="1:20" ht="19.95" hidden="1" customHeight="1" outlineLevel="1" x14ac:dyDescent="0.35">
      <c r="A213" s="9"/>
      <c r="B213" s="607" t="str">
        <f>'Company Profile'!$B$26</f>
        <v>Brocktown office</v>
      </c>
      <c r="C213" s="608" t="str">
        <f>IF('[2]Site information'!C193="","",'[2]Site information'!C193)</f>
        <v/>
      </c>
      <c r="D213" s="609" t="str">
        <f>IF('[2]Site information'!D193="","",'[2]Site information'!D193)</f>
        <v/>
      </c>
      <c r="E213" s="281" t="s">
        <v>536</v>
      </c>
      <c r="F213" s="278">
        <v>5000</v>
      </c>
      <c r="G213" s="278">
        <v>3000</v>
      </c>
      <c r="H213" s="278"/>
      <c r="I213" s="226">
        <f>IF(E213="Yes",1,IF(F213=0,"",IF(E213="Yes",1,IF(G213-H213&gt;F213,0,(F213-(G213-H213)))/F213)))</f>
        <v>0.4</v>
      </c>
      <c r="J213" s="670"/>
      <c r="K213" s="671"/>
      <c r="M213" s="1"/>
      <c r="N213" s="1"/>
      <c r="O213" s="1"/>
      <c r="P213" s="1"/>
      <c r="Q213" s="1"/>
      <c r="R213" s="1"/>
      <c r="S213" s="1"/>
      <c r="T213" s="1"/>
    </row>
    <row r="214" spans="1:20" ht="19.95" hidden="1" customHeight="1" outlineLevel="1" x14ac:dyDescent="0.35">
      <c r="A214" s="9"/>
      <c r="B214" s="607" t="str">
        <f>'Company Profile'!$B$27</f>
        <v>Edenville office</v>
      </c>
      <c r="C214" s="608"/>
      <c r="D214" s="609"/>
      <c r="E214" s="281" t="s">
        <v>535</v>
      </c>
      <c r="F214" s="278"/>
      <c r="G214" s="278"/>
      <c r="H214" s="278"/>
      <c r="I214" s="226" t="str">
        <f>IF(E214="Yes",1,IF(F214=0,"",IF(E214="Yes",1,IF(G214-H214&gt;F214,0,(F214-(G214-H214)))/F214)))</f>
        <v/>
      </c>
      <c r="J214" s="670"/>
      <c r="K214" s="671"/>
      <c r="M214" s="1"/>
      <c r="N214" s="1"/>
      <c r="O214" s="1"/>
      <c r="P214" s="1"/>
      <c r="Q214" s="1"/>
      <c r="R214" s="1"/>
      <c r="S214" s="1"/>
      <c r="T214" s="1"/>
    </row>
    <row r="215" spans="1:20" ht="19.95" hidden="1" customHeight="1" outlineLevel="1" x14ac:dyDescent="0.35">
      <c r="A215" s="733"/>
      <c r="B215" s="607" t="str">
        <f>'Company Profile'!$B$28</f>
        <v>HQ</v>
      </c>
      <c r="C215" s="608"/>
      <c r="D215" s="609"/>
      <c r="E215" s="280" t="s">
        <v>3</v>
      </c>
      <c r="F215" s="276"/>
      <c r="G215" s="276"/>
      <c r="H215" s="276"/>
      <c r="I215" s="224">
        <f>IF(E215="Yes",1,IF(F215=0,"",IF(E215="Yes",1,IF(G215-H215&gt;F215,0,(F215-(G215-H215)))/F215)))</f>
        <v>1</v>
      </c>
      <c r="J215" s="718"/>
      <c r="K215" s="719"/>
      <c r="M215" s="1"/>
      <c r="N215" s="1"/>
      <c r="O215" s="1"/>
      <c r="P215" s="1"/>
      <c r="Q215" s="1"/>
      <c r="R215" s="1"/>
      <c r="S215" s="1"/>
      <c r="T215" s="1"/>
    </row>
    <row r="216" spans="1:20" s="1" customFormat="1" ht="19.95" hidden="1" customHeight="1" outlineLevel="1" x14ac:dyDescent="0.35">
      <c r="A216" s="733"/>
      <c r="B216" s="127" t="s">
        <v>309</v>
      </c>
      <c r="C216" s="126"/>
      <c r="D216" s="170"/>
      <c r="G216" s="184">
        <f>SUM(G211:G215)</f>
        <v>358000</v>
      </c>
      <c r="I216" s="259">
        <f>IF(SUMPRODUCT(G211:G215)&gt;SUMPRODUCT(F211:F215),0,IF(SUMPRODUCT(F211:F215)=0,"",(SUMPRODUCT(F211:F215)-(SUMPRODUCT(G211:G215)+SUMPRODUCT(H211:H215)))/SUM(F211:F215)))</f>
        <v>0.29853228962818001</v>
      </c>
    </row>
    <row r="217" spans="1:20" ht="15" customHeight="1" collapsed="1" x14ac:dyDescent="0.35">
      <c r="G217" s="7"/>
      <c r="H217" s="7"/>
      <c r="I217" s="7"/>
    </row>
    <row r="218" spans="1:20" ht="25.05" customHeight="1" x14ac:dyDescent="0.35">
      <c r="A218" s="9"/>
      <c r="B218" s="739" t="s">
        <v>534</v>
      </c>
      <c r="C218" s="740"/>
      <c r="D218" s="740"/>
      <c r="E218" s="740"/>
      <c r="F218" s="740"/>
      <c r="G218" s="740"/>
      <c r="H218" s="741"/>
      <c r="I218" s="605" t="s">
        <v>533</v>
      </c>
      <c r="J218" s="705">
        <f>$H$228</f>
        <v>0.44862835249042143</v>
      </c>
      <c r="K218" s="1"/>
      <c r="L218" s="1"/>
      <c r="M218" s="1"/>
      <c r="N218" s="1"/>
      <c r="O218" s="1"/>
      <c r="P218" s="1"/>
    </row>
    <row r="219" spans="1:20" ht="25.05" customHeight="1" x14ac:dyDescent="0.35">
      <c r="A219" s="9"/>
      <c r="B219" s="742"/>
      <c r="C219" s="743"/>
      <c r="D219" s="743"/>
      <c r="E219" s="743"/>
      <c r="F219" s="743"/>
      <c r="G219" s="743"/>
      <c r="H219" s="744"/>
      <c r="I219" s="606"/>
      <c r="J219" s="706"/>
      <c r="K219" s="1"/>
      <c r="L219" s="1"/>
      <c r="M219" s="1"/>
      <c r="N219" s="1"/>
      <c r="O219" s="1"/>
      <c r="P219" s="1"/>
    </row>
    <row r="220" spans="1:20" ht="120" hidden="1" customHeight="1" outlineLevel="1" x14ac:dyDescent="0.35">
      <c r="A220" s="9"/>
      <c r="B220" s="528" t="s">
        <v>532</v>
      </c>
      <c r="C220" s="527"/>
      <c r="D220" s="527"/>
      <c r="E220" s="527"/>
      <c r="F220" s="527"/>
      <c r="G220" s="527"/>
      <c r="H220" s="527"/>
      <c r="I220" s="527"/>
      <c r="J220" s="565"/>
      <c r="K220" s="1"/>
      <c r="L220" s="1"/>
      <c r="M220" s="1"/>
      <c r="N220" s="1"/>
      <c r="O220" s="1"/>
      <c r="P220" s="1"/>
    </row>
    <row r="221" spans="1:20" ht="25.05" hidden="1" customHeight="1" outlineLevel="1" x14ac:dyDescent="0.35">
      <c r="A221" s="10"/>
      <c r="B221" s="636" t="s">
        <v>222</v>
      </c>
      <c r="C221" s="637"/>
      <c r="D221" s="637"/>
      <c r="E221" s="637"/>
      <c r="F221" s="637"/>
      <c r="G221" s="637"/>
      <c r="H221" s="637"/>
      <c r="I221" s="637"/>
      <c r="J221" s="638"/>
      <c r="K221" s="1"/>
      <c r="L221" s="1"/>
      <c r="M221" s="1"/>
      <c r="N221" s="6"/>
      <c r="O221" s="6"/>
    </row>
    <row r="222" spans="1:20" ht="34.049999999999997" hidden="1" customHeight="1" outlineLevel="1" x14ac:dyDescent="0.35">
      <c r="A222" s="9"/>
      <c r="B222" s="707" t="s">
        <v>423</v>
      </c>
      <c r="C222" s="708"/>
      <c r="D222" s="922"/>
      <c r="E222" s="347" t="s">
        <v>531</v>
      </c>
      <c r="F222" s="336" t="s">
        <v>530</v>
      </c>
      <c r="G222" s="343" t="s">
        <v>529</v>
      </c>
      <c r="H222" s="337" t="s">
        <v>528</v>
      </c>
      <c r="I222" s="707" t="s">
        <v>5</v>
      </c>
      <c r="J222" s="709"/>
      <c r="M222" s="1"/>
      <c r="N222" s="1"/>
      <c r="O222" s="1"/>
      <c r="P222" s="1"/>
      <c r="Q222" s="1"/>
      <c r="R222" s="1"/>
      <c r="S222" s="1"/>
      <c r="T222" s="1"/>
    </row>
    <row r="223" spans="1:20" ht="19.95" hidden="1" customHeight="1" outlineLevel="1" x14ac:dyDescent="0.35">
      <c r="A223" s="9"/>
      <c r="B223" s="624" t="str">
        <f>'Company Profile'!$B$24</f>
        <v>Jonesville plant</v>
      </c>
      <c r="C223" s="625"/>
      <c r="D223" s="635"/>
      <c r="E223" s="277" t="s">
        <v>527</v>
      </c>
      <c r="F223" s="279">
        <v>6000</v>
      </c>
      <c r="G223" s="279">
        <v>4000</v>
      </c>
      <c r="H223" s="228">
        <f>IF(E223="Site assessed - no waste",1,IF(E223&lt;&gt;"Site assessed - waste generated","",IF(G223&gt;F223,0,IF(AND(E223="Site assessed - waste generated",F223=0),"",(F223-G223)/F223))))</f>
        <v>0.33333333333333331</v>
      </c>
      <c r="I223" s="672"/>
      <c r="J223" s="673"/>
      <c r="M223" s="1"/>
      <c r="N223" s="1"/>
      <c r="O223" s="1"/>
      <c r="P223" s="1"/>
      <c r="Q223" s="1"/>
      <c r="R223" s="1"/>
      <c r="S223" s="1"/>
      <c r="T223" s="1"/>
    </row>
    <row r="224" spans="1:20" ht="19.95" hidden="1" customHeight="1" outlineLevel="1" x14ac:dyDescent="0.35">
      <c r="A224" s="9"/>
      <c r="B224" s="607" t="str">
        <f>'Company Profile'!$B$25</f>
        <v>Smithtown warehouse</v>
      </c>
      <c r="C224" s="608" t="str">
        <f>IF('[2]Site information'!C204="","",'[2]Site information'!C204)</f>
        <v/>
      </c>
      <c r="D224" s="609" t="str">
        <f>IF('[2]Site information'!D204="","",'[2]Site information'!D204)</f>
        <v/>
      </c>
      <c r="E224" s="277" t="s">
        <v>527</v>
      </c>
      <c r="F224" s="278">
        <v>1000</v>
      </c>
      <c r="G224" s="278">
        <v>200</v>
      </c>
      <c r="H224" s="226">
        <f>IF(E224="Site assessed - no waste",1,IF(E224&lt;&gt;"Site assessed - waste generated","",IF(G224&gt;F224,0,IF(AND(E224="Site assessed - waste generated",F224=0),"",(F224-G224)/F224))))</f>
        <v>0.8</v>
      </c>
      <c r="I224" s="670"/>
      <c r="J224" s="671"/>
      <c r="M224" s="1"/>
      <c r="N224" s="1"/>
      <c r="O224" s="1"/>
      <c r="P224" s="1"/>
      <c r="Q224" s="1"/>
      <c r="R224" s="1"/>
      <c r="S224" s="1"/>
      <c r="T224" s="1"/>
    </row>
    <row r="225" spans="1:20" ht="19.95" hidden="1" customHeight="1" outlineLevel="1" x14ac:dyDescent="0.35">
      <c r="A225" s="9"/>
      <c r="B225" s="607" t="str">
        <f>'Company Profile'!$B$26</f>
        <v>Brocktown office</v>
      </c>
      <c r="C225" s="608" t="str">
        <f>IF('[2]Site information'!C205="","",'[2]Site information'!C205)</f>
        <v/>
      </c>
      <c r="D225" s="609" t="str">
        <f>IF('[2]Site information'!D205="","",'[2]Site information'!D205)</f>
        <v/>
      </c>
      <c r="E225" s="277" t="s">
        <v>527</v>
      </c>
      <c r="F225" s="278">
        <v>600</v>
      </c>
      <c r="G225" s="278">
        <v>200</v>
      </c>
      <c r="H225" s="226">
        <f>IF(E225="Site assessed - no waste",1,IF(E225&lt;&gt;"Site assessed - waste generated","",IF(G225&gt;F225,0,IF(AND(E225="Site assessed - waste generated",F225=0),"",(F225-G225)/F225))))</f>
        <v>0.66666666666666663</v>
      </c>
      <c r="I225" s="670"/>
      <c r="J225" s="671"/>
      <c r="M225" s="1"/>
      <c r="N225" s="1"/>
      <c r="O225" s="1"/>
      <c r="P225" s="1"/>
      <c r="Q225" s="1"/>
      <c r="R225" s="1"/>
      <c r="S225" s="1"/>
      <c r="T225" s="1"/>
    </row>
    <row r="226" spans="1:20" ht="19.95" hidden="1" customHeight="1" outlineLevel="1" x14ac:dyDescent="0.35">
      <c r="A226" s="733"/>
      <c r="B226" s="607" t="str">
        <f>'Company Profile'!$B$27</f>
        <v>Edenville office</v>
      </c>
      <c r="C226" s="608"/>
      <c r="D226" s="609"/>
      <c r="E226" s="277" t="s">
        <v>527</v>
      </c>
      <c r="F226" s="278">
        <v>500</v>
      </c>
      <c r="G226" s="278">
        <v>200</v>
      </c>
      <c r="H226" s="226">
        <f>IF(E226="Site assessed - no waste",1,IF(E226&lt;&gt;"Site assessed - waste generated","",IF(G226&gt;F226,0,IF(AND(E226="Site assessed - waste generated",F226=0),"",(F226-G226)/F226))))</f>
        <v>0.6</v>
      </c>
      <c r="I226" s="670"/>
      <c r="J226" s="671"/>
      <c r="M226" s="1"/>
      <c r="N226" s="1"/>
      <c r="O226" s="1"/>
      <c r="P226" s="1"/>
      <c r="Q226" s="1"/>
      <c r="R226" s="1"/>
      <c r="S226" s="1"/>
      <c r="T226" s="1"/>
    </row>
    <row r="227" spans="1:20" s="1" customFormat="1" ht="19.95" hidden="1" customHeight="1" outlineLevel="1" x14ac:dyDescent="0.35">
      <c r="A227" s="733"/>
      <c r="B227" s="607" t="str">
        <f>'Company Profile'!$B$28</f>
        <v>HQ</v>
      </c>
      <c r="C227" s="608"/>
      <c r="D227" s="609"/>
      <c r="E227" s="277" t="s">
        <v>527</v>
      </c>
      <c r="F227" s="276">
        <v>600</v>
      </c>
      <c r="G227" s="276">
        <v>200</v>
      </c>
      <c r="H227" s="224">
        <f>IF(E227="Site assessed - no waste",1,IF(E227&lt;&gt;"Site assessed - waste generated","",IF(G227&gt;F227,0,IF(AND(E227="Site assessed - waste generated",F227=0),"",(F227-G227)/F227))))</f>
        <v>0.66666666666666663</v>
      </c>
      <c r="I227" s="718"/>
      <c r="J227" s="719"/>
    </row>
    <row r="228" spans="1:20" ht="15" hidden="1" customHeight="1" outlineLevel="1" x14ac:dyDescent="0.35">
      <c r="B228" s="127" t="s">
        <v>309</v>
      </c>
      <c r="C228" s="126"/>
      <c r="D228" s="170"/>
      <c r="E228" s="1"/>
      <c r="F228" s="1"/>
      <c r="G228" s="238">
        <f>SUM(G223:G227)</f>
        <v>4800</v>
      </c>
      <c r="H228" s="275">
        <f>IF(G228=0,1,IF(SUMPRODUCT(G223:G227)&gt;SUMPRODUCT(F223:F227),0,IF(SUMPRODUCT(F223:F227)=0,"",(SUMPRODUCT(F223:F227)-SUMPRODUCT(G223:G227)+SUMPRODUCT(H223:H227))/(SUMPRODUCT(F223:F227)))))</f>
        <v>0.44862835249042143</v>
      </c>
      <c r="I228" s="1"/>
      <c r="J228" s="1"/>
    </row>
    <row r="229" spans="1:20" ht="15" customHeight="1" collapsed="1" x14ac:dyDescent="0.35">
      <c r="G229" s="7"/>
      <c r="H229" s="7"/>
      <c r="I229" s="7"/>
    </row>
    <row r="230" spans="1:20" ht="25.05" customHeight="1" x14ac:dyDescent="0.35">
      <c r="A230" s="9"/>
      <c r="B230" s="739" t="s">
        <v>526</v>
      </c>
      <c r="C230" s="740"/>
      <c r="D230" s="740"/>
      <c r="E230" s="740"/>
      <c r="F230" s="740"/>
      <c r="G230" s="740"/>
      <c r="H230" s="741"/>
      <c r="I230" s="605" t="s">
        <v>525</v>
      </c>
      <c r="J230" s="705">
        <f>$M$241</f>
        <v>0.35353535353535354</v>
      </c>
      <c r="K230" s="1"/>
      <c r="L230" s="1"/>
      <c r="M230" s="1"/>
      <c r="N230" s="1"/>
      <c r="O230" s="1"/>
      <c r="P230" s="1"/>
    </row>
    <row r="231" spans="1:20" ht="25.05" customHeight="1" x14ac:dyDescent="0.35">
      <c r="A231" s="9"/>
      <c r="B231" s="652"/>
      <c r="C231" s="653"/>
      <c r="D231" s="653"/>
      <c r="E231" s="653"/>
      <c r="F231" s="653"/>
      <c r="G231" s="653"/>
      <c r="H231" s="654"/>
      <c r="I231" s="606"/>
      <c r="J231" s="706"/>
      <c r="K231" s="1"/>
      <c r="L231" s="1"/>
      <c r="M231" s="1"/>
      <c r="N231" s="1"/>
      <c r="O231" s="1"/>
      <c r="P231" s="1"/>
    </row>
    <row r="232" spans="1:20" ht="181.05" hidden="1" customHeight="1" outlineLevel="1" x14ac:dyDescent="0.35">
      <c r="A232" s="9"/>
      <c r="B232" s="528" t="s">
        <v>524</v>
      </c>
      <c r="C232" s="527"/>
      <c r="D232" s="527"/>
      <c r="E232" s="527"/>
      <c r="F232" s="527"/>
      <c r="G232" s="527"/>
      <c r="H232" s="527"/>
      <c r="I232" s="527"/>
      <c r="J232" s="565"/>
      <c r="K232" s="1"/>
      <c r="L232" s="1"/>
      <c r="M232" s="1"/>
      <c r="N232" s="1"/>
      <c r="O232" s="1"/>
      <c r="P232" s="1"/>
    </row>
    <row r="233" spans="1:20" ht="28.95" hidden="1" customHeight="1" outlineLevel="1" x14ac:dyDescent="0.35">
      <c r="A233" s="10"/>
      <c r="B233" s="850" t="s">
        <v>222</v>
      </c>
      <c r="C233" s="851"/>
      <c r="D233" s="851"/>
      <c r="E233" s="851"/>
      <c r="F233" s="851"/>
      <c r="G233" s="851"/>
      <c r="H233" s="851"/>
      <c r="I233" s="851"/>
      <c r="J233" s="852"/>
      <c r="K233" s="1"/>
      <c r="L233" s="1"/>
      <c r="M233" s="1"/>
      <c r="N233" s="6"/>
      <c r="O233" s="6"/>
    </row>
    <row r="234" spans="1:20" ht="25.5" hidden="1" customHeight="1" outlineLevel="1" x14ac:dyDescent="0.35">
      <c r="A234" s="9"/>
      <c r="B234" s="662" t="s">
        <v>423</v>
      </c>
      <c r="C234" s="745"/>
      <c r="D234" s="745"/>
      <c r="E234" s="668" t="s">
        <v>523</v>
      </c>
      <c r="F234" s="763"/>
      <c r="G234" s="669"/>
      <c r="H234" s="668" t="s">
        <v>522</v>
      </c>
      <c r="I234" s="763"/>
      <c r="J234" s="763"/>
      <c r="K234" s="669"/>
      <c r="L234" s="340" t="s">
        <v>521</v>
      </c>
      <c r="M234" s="677" t="s">
        <v>520</v>
      </c>
      <c r="N234" s="662" t="s">
        <v>5</v>
      </c>
      <c r="O234" s="663"/>
      <c r="S234" s="1"/>
      <c r="T234" s="1"/>
    </row>
    <row r="235" spans="1:20" ht="77.55" hidden="1" customHeight="1" outlineLevel="1" x14ac:dyDescent="0.35">
      <c r="A235" s="9"/>
      <c r="B235" s="666"/>
      <c r="C235" s="746"/>
      <c r="D235" s="746"/>
      <c r="E235" s="348" t="s">
        <v>519</v>
      </c>
      <c r="F235" s="349" t="s">
        <v>518</v>
      </c>
      <c r="G235" s="350" t="s">
        <v>517</v>
      </c>
      <c r="H235" s="351" t="s">
        <v>516</v>
      </c>
      <c r="I235" s="349" t="s">
        <v>515</v>
      </c>
      <c r="J235" s="349" t="s">
        <v>514</v>
      </c>
      <c r="K235" s="350" t="s">
        <v>513</v>
      </c>
      <c r="L235" s="352" t="s">
        <v>512</v>
      </c>
      <c r="M235" s="678"/>
      <c r="N235" s="666"/>
      <c r="O235" s="667"/>
      <c r="S235" s="1"/>
      <c r="T235" s="1"/>
    </row>
    <row r="236" spans="1:20" ht="19.95" hidden="1" customHeight="1" outlineLevel="1" x14ac:dyDescent="0.35">
      <c r="A236" s="9"/>
      <c r="B236" s="624" t="str">
        <f>'Company Profile'!$B$24</f>
        <v>Jonesville plant</v>
      </c>
      <c r="C236" s="625"/>
      <c r="D236" s="635"/>
      <c r="E236" s="274">
        <v>400000</v>
      </c>
      <c r="F236" s="229" t="s">
        <v>3</v>
      </c>
      <c r="G236" s="272" t="s">
        <v>3</v>
      </c>
      <c r="H236" s="273" t="s">
        <v>4</v>
      </c>
      <c r="I236" s="229"/>
      <c r="J236" s="229"/>
      <c r="K236" s="272"/>
      <c r="L236" s="271"/>
      <c r="M236" s="270">
        <f>IF(COUNTIF(F236:L236,"Yes")=7,1,0)</f>
        <v>0</v>
      </c>
      <c r="N236" s="672"/>
      <c r="O236" s="673"/>
      <c r="S236" s="1"/>
      <c r="T236" s="1"/>
    </row>
    <row r="237" spans="1:20" ht="19.95" hidden="1" customHeight="1" outlineLevel="1" x14ac:dyDescent="0.35">
      <c r="A237" s="9"/>
      <c r="B237" s="607" t="str">
        <f>'Company Profile'!$B$25</f>
        <v>Smithtown warehouse</v>
      </c>
      <c r="C237" s="608" t="str">
        <f>IF('[2]Site information'!C217="","",'[2]Site information'!C217)</f>
        <v/>
      </c>
      <c r="D237" s="609" t="str">
        <f>IF('[2]Site information'!D217="","",'[2]Site information'!D217)</f>
        <v/>
      </c>
      <c r="E237" s="269">
        <v>200000</v>
      </c>
      <c r="F237" s="227" t="s">
        <v>3</v>
      </c>
      <c r="G237" s="267" t="s">
        <v>3</v>
      </c>
      <c r="H237" s="268" t="s">
        <v>3</v>
      </c>
      <c r="I237" s="227" t="s">
        <v>3</v>
      </c>
      <c r="J237" s="227" t="s">
        <v>3</v>
      </c>
      <c r="K237" s="267" t="s">
        <v>3</v>
      </c>
      <c r="L237" s="266" t="s">
        <v>4</v>
      </c>
      <c r="M237" s="265">
        <f>IF(COUNTIF(F237:L237,"Yes")=7,1,0)</f>
        <v>0</v>
      </c>
      <c r="N237" s="670"/>
      <c r="O237" s="671"/>
      <c r="S237" s="1"/>
      <c r="T237" s="1"/>
    </row>
    <row r="238" spans="1:20" ht="19.95" hidden="1" customHeight="1" outlineLevel="1" x14ac:dyDescent="0.35">
      <c r="A238" s="9"/>
      <c r="B238" s="607" t="str">
        <f>'Company Profile'!$B$26</f>
        <v>Brocktown office</v>
      </c>
      <c r="C238" s="608" t="str">
        <f>IF('[2]Site information'!C218="","",'[2]Site information'!C218)</f>
        <v/>
      </c>
      <c r="D238" s="609" t="str">
        <f>IF('[2]Site information'!D218="","",'[2]Site information'!D218)</f>
        <v/>
      </c>
      <c r="E238" s="269">
        <v>50000</v>
      </c>
      <c r="F238" s="227" t="s">
        <v>3</v>
      </c>
      <c r="G238" s="267" t="s">
        <v>3</v>
      </c>
      <c r="H238" s="268" t="s">
        <v>3</v>
      </c>
      <c r="I238" s="227" t="s">
        <v>3</v>
      </c>
      <c r="J238" s="227" t="s">
        <v>3</v>
      </c>
      <c r="K238" s="267" t="s">
        <v>3</v>
      </c>
      <c r="L238" s="266" t="s">
        <v>3</v>
      </c>
      <c r="M238" s="265">
        <f>IF(COUNTIF(F238:L238,"Yes")=7,1,0)</f>
        <v>1</v>
      </c>
      <c r="N238" s="670"/>
      <c r="O238" s="671"/>
      <c r="S238" s="1"/>
      <c r="T238" s="1"/>
    </row>
    <row r="239" spans="1:20" ht="19.95" hidden="1" customHeight="1" outlineLevel="1" x14ac:dyDescent="0.35">
      <c r="A239" s="9"/>
      <c r="B239" s="607" t="str">
        <f>'Company Profile'!$B$27</f>
        <v>Edenville office</v>
      </c>
      <c r="C239" s="608"/>
      <c r="D239" s="609"/>
      <c r="E239" s="269">
        <v>40000</v>
      </c>
      <c r="F239" s="227" t="s">
        <v>3</v>
      </c>
      <c r="G239" s="267" t="s">
        <v>4</v>
      </c>
      <c r="H239" s="268" t="s">
        <v>3</v>
      </c>
      <c r="I239" s="227" t="s">
        <v>3</v>
      </c>
      <c r="J239" s="227" t="s">
        <v>3</v>
      </c>
      <c r="K239" s="267" t="s">
        <v>3</v>
      </c>
      <c r="L239" s="266" t="s">
        <v>3</v>
      </c>
      <c r="M239" s="265">
        <f>IF(COUNTIF(F239:L239,"Yes")=7,1,0)</f>
        <v>0</v>
      </c>
      <c r="N239" s="670"/>
      <c r="O239" s="671"/>
      <c r="S239" s="1"/>
      <c r="T239" s="1"/>
    </row>
    <row r="240" spans="1:20" ht="19.95" hidden="1" customHeight="1" outlineLevel="1" x14ac:dyDescent="0.35">
      <c r="A240" s="733"/>
      <c r="B240" s="607" t="str">
        <f>'Company Profile'!$B$28</f>
        <v>HQ</v>
      </c>
      <c r="C240" s="608"/>
      <c r="D240" s="609"/>
      <c r="E240" s="264">
        <v>300000</v>
      </c>
      <c r="F240" s="225" t="s">
        <v>3</v>
      </c>
      <c r="G240" s="262" t="s">
        <v>3</v>
      </c>
      <c r="H240" s="263" t="s">
        <v>3</v>
      </c>
      <c r="I240" s="225" t="s">
        <v>3</v>
      </c>
      <c r="J240" s="225" t="s">
        <v>3</v>
      </c>
      <c r="K240" s="262" t="s">
        <v>3</v>
      </c>
      <c r="L240" s="261" t="s">
        <v>3</v>
      </c>
      <c r="M240" s="260">
        <f>IF(COUNTIF(F240:L240,"Yes")=7,1,0)</f>
        <v>1</v>
      </c>
      <c r="N240" s="718"/>
      <c r="O240" s="719"/>
      <c r="S240" s="1"/>
      <c r="T240" s="1"/>
    </row>
    <row r="241" spans="1:22" s="1" customFormat="1" ht="19.5" hidden="1" customHeight="1" outlineLevel="1" x14ac:dyDescent="0.35">
      <c r="A241" s="733"/>
      <c r="B241" s="127" t="s">
        <v>309</v>
      </c>
      <c r="C241" s="126"/>
      <c r="D241" s="170"/>
      <c r="E241" s="184">
        <f>SUM(E236:E240)</f>
        <v>990000</v>
      </c>
      <c r="F241" s="4"/>
      <c r="G241" s="4"/>
      <c r="H241" s="4"/>
      <c r="I241" s="4"/>
      <c r="J241" s="4"/>
      <c r="K241" s="4"/>
      <c r="L241" s="4"/>
      <c r="M241" s="259">
        <f>SUMPRODUCT(E236:E240,M236:M240)/SUMPRODUCT(E236:E240)</f>
        <v>0.35353535353535354</v>
      </c>
      <c r="N241" s="4"/>
      <c r="O241" s="4"/>
    </row>
    <row r="242" spans="1:22" ht="15" customHeight="1" collapsed="1" x14ac:dyDescent="0.35">
      <c r="U242" s="3"/>
    </row>
    <row r="243" spans="1:22" ht="25.05" customHeight="1" x14ac:dyDescent="0.35">
      <c r="A243" s="9"/>
      <c r="B243" s="739" t="s">
        <v>328</v>
      </c>
      <c r="C243" s="740"/>
      <c r="D243" s="740"/>
      <c r="E243" s="740"/>
      <c r="F243" s="740"/>
      <c r="G243" s="740"/>
      <c r="H243" s="741"/>
      <c r="I243" s="605" t="s">
        <v>321</v>
      </c>
      <c r="J243" s="705">
        <f>$H$253</f>
        <v>0.69237868184265172</v>
      </c>
      <c r="K243" s="1"/>
      <c r="L243" s="1"/>
      <c r="M243" s="1"/>
      <c r="N243" s="1"/>
      <c r="O243" s="1"/>
      <c r="P243" s="1"/>
    </row>
    <row r="244" spans="1:22" ht="25.05" customHeight="1" x14ac:dyDescent="0.35">
      <c r="A244" s="9"/>
      <c r="B244" s="652"/>
      <c r="C244" s="653"/>
      <c r="D244" s="653"/>
      <c r="E244" s="653"/>
      <c r="F244" s="653"/>
      <c r="G244" s="653"/>
      <c r="H244" s="654"/>
      <c r="I244" s="606"/>
      <c r="J244" s="706"/>
      <c r="K244" s="1"/>
      <c r="L244" s="1"/>
      <c r="M244" s="1"/>
      <c r="N244" s="1"/>
      <c r="O244" s="1"/>
      <c r="P244" s="1"/>
    </row>
    <row r="245" spans="1:22" ht="78.45" hidden="1" customHeight="1" outlineLevel="1" x14ac:dyDescent="0.35">
      <c r="A245" s="9"/>
      <c r="B245" s="528" t="s">
        <v>327</v>
      </c>
      <c r="C245" s="527"/>
      <c r="D245" s="527"/>
      <c r="E245" s="527"/>
      <c r="F245" s="527"/>
      <c r="G245" s="527"/>
      <c r="H245" s="527"/>
      <c r="I245" s="527"/>
      <c r="J245" s="565"/>
      <c r="K245" s="1"/>
      <c r="L245" s="1"/>
      <c r="M245" s="1"/>
      <c r="N245" s="1"/>
      <c r="O245" s="1"/>
      <c r="P245" s="1"/>
    </row>
    <row r="246" spans="1:22" ht="25.05" hidden="1" customHeight="1" outlineLevel="1" x14ac:dyDescent="0.35">
      <c r="A246" s="10"/>
      <c r="B246" s="636" t="s">
        <v>222</v>
      </c>
      <c r="C246" s="637"/>
      <c r="D246" s="637"/>
      <c r="E246" s="637"/>
      <c r="F246" s="637"/>
      <c r="G246" s="637"/>
      <c r="H246" s="637"/>
      <c r="I246" s="637"/>
      <c r="J246" s="638"/>
      <c r="K246" s="1"/>
      <c r="L246" s="1"/>
      <c r="M246" s="1"/>
      <c r="N246" s="6"/>
      <c r="O246" s="6"/>
    </row>
    <row r="247" spans="1:22" ht="34.950000000000003" hidden="1" customHeight="1" outlineLevel="1" x14ac:dyDescent="0.35">
      <c r="A247" s="9"/>
      <c r="B247" s="853" t="s">
        <v>119</v>
      </c>
      <c r="C247" s="854"/>
      <c r="D247" s="353" t="s">
        <v>326</v>
      </c>
      <c r="E247" s="352" t="s">
        <v>325</v>
      </c>
      <c r="F247" s="354" t="s">
        <v>324</v>
      </c>
      <c r="G247" s="354" t="s">
        <v>310</v>
      </c>
      <c r="H247" s="355" t="s">
        <v>323</v>
      </c>
      <c r="I247" s="707" t="s">
        <v>5</v>
      </c>
      <c r="J247" s="709"/>
      <c r="L247" s="1"/>
      <c r="M247" s="1"/>
      <c r="N247" s="1"/>
      <c r="O247" s="1"/>
      <c r="P247" s="1"/>
      <c r="Q247" s="1"/>
      <c r="R247" s="1"/>
      <c r="S247" s="1"/>
    </row>
    <row r="248" spans="1:22" ht="19.95" hidden="1" customHeight="1" outlineLevel="1" x14ac:dyDescent="0.35">
      <c r="A248" s="9"/>
      <c r="B248" s="716" t="str">
        <f>'Company Profile'!$C$42</f>
        <v>Washing machines</v>
      </c>
      <c r="C248" s="717"/>
      <c r="D248" s="195">
        <f>'Company Profile'!$D$42</f>
        <v>3000000</v>
      </c>
      <c r="E248" s="194" t="s">
        <v>4</v>
      </c>
      <c r="F248" s="193">
        <v>50000</v>
      </c>
      <c r="G248" s="192">
        <v>1000</v>
      </c>
      <c r="H248" s="178">
        <f>IF(E248="No",1,IF(E248="","",0))</f>
        <v>1</v>
      </c>
      <c r="I248" s="672"/>
      <c r="J248" s="673"/>
      <c r="L248" s="1"/>
      <c r="M248" s="1"/>
      <c r="N248" s="1"/>
      <c r="O248" s="1"/>
      <c r="P248" s="1"/>
      <c r="Q248" s="1"/>
      <c r="R248" s="1"/>
      <c r="S248" s="1"/>
    </row>
    <row r="249" spans="1:22" ht="19.95" hidden="1" customHeight="1" outlineLevel="1" x14ac:dyDescent="0.35">
      <c r="A249" s="9"/>
      <c r="B249" s="716" t="str">
        <f>'Company Profile'!$C$43</f>
        <v>Dryers</v>
      </c>
      <c r="C249" s="717" t="str">
        <f>IF('[2]Site information'!C200="","",'[2]Site information'!C200)</f>
        <v/>
      </c>
      <c r="D249" s="191">
        <f>'Company Profile'!$D$43</f>
        <v>2000000</v>
      </c>
      <c r="E249" s="188" t="s">
        <v>3</v>
      </c>
      <c r="F249" s="190">
        <v>100000</v>
      </c>
      <c r="G249" s="186">
        <v>900</v>
      </c>
      <c r="H249" s="171">
        <f>IF(E249="No",1,IF(E249="","",0))</f>
        <v>0</v>
      </c>
      <c r="I249" s="670"/>
      <c r="J249" s="671"/>
      <c r="L249" s="1"/>
      <c r="M249" s="1"/>
      <c r="N249" s="1"/>
      <c r="O249" s="1"/>
      <c r="P249" s="1"/>
      <c r="Q249" s="1"/>
      <c r="R249" s="1"/>
      <c r="S249" s="1"/>
    </row>
    <row r="250" spans="1:22" ht="19.95" hidden="1" customHeight="1" outlineLevel="1" x14ac:dyDescent="0.35">
      <c r="A250" s="9"/>
      <c r="B250" s="716" t="str">
        <f>'Company Profile'!$C$44</f>
        <v>Instruction manuals</v>
      </c>
      <c r="C250" s="717" t="str">
        <f>IF('[2]Site information'!C201="","",'[2]Site information'!C201)</f>
        <v/>
      </c>
      <c r="D250" s="191">
        <f>'Company Profile'!$D$44</f>
        <v>1500</v>
      </c>
      <c r="E250" s="188" t="s">
        <v>4</v>
      </c>
      <c r="F250" s="190">
        <v>50</v>
      </c>
      <c r="G250" s="186">
        <v>1900</v>
      </c>
      <c r="H250" s="171">
        <f>IF(E250="No",1,IF(E250="","",0))</f>
        <v>1</v>
      </c>
      <c r="I250" s="670"/>
      <c r="J250" s="671"/>
      <c r="L250" s="1"/>
      <c r="M250" s="1"/>
      <c r="N250" s="1"/>
      <c r="O250" s="1"/>
      <c r="P250" s="1"/>
      <c r="Q250" s="1"/>
      <c r="R250" s="1"/>
      <c r="S250" s="1"/>
    </row>
    <row r="251" spans="1:22" ht="19.95" hidden="1" customHeight="1" outlineLevel="1" x14ac:dyDescent="0.35">
      <c r="A251" s="9"/>
      <c r="B251" s="716" t="str">
        <f>'Company Profile'!$C$45</f>
        <v>Wooden pallets</v>
      </c>
      <c r="C251" s="717"/>
      <c r="D251" s="191">
        <f>'Company Profile'!$D$45</f>
        <v>500000</v>
      </c>
      <c r="E251" s="188" t="s">
        <v>4</v>
      </c>
      <c r="F251" s="190">
        <v>1000</v>
      </c>
      <c r="G251" s="186">
        <v>500</v>
      </c>
      <c r="H251" s="171">
        <f>IF(E251="No",1,IF(E251="","",0))</f>
        <v>1</v>
      </c>
      <c r="I251" s="670"/>
      <c r="J251" s="671"/>
      <c r="L251" s="1"/>
      <c r="M251" s="1"/>
      <c r="N251" s="1"/>
      <c r="O251" s="1"/>
      <c r="P251" s="1"/>
      <c r="Q251" s="1"/>
      <c r="R251" s="1"/>
      <c r="S251" s="1"/>
    </row>
    <row r="252" spans="1:22" ht="19.95" hidden="1" customHeight="1" outlineLevel="1" x14ac:dyDescent="0.35">
      <c r="A252" s="733"/>
      <c r="B252" s="724" t="str">
        <f>'Company Profile'!$C$46</f>
        <v xml:space="preserve">Maintenance </v>
      </c>
      <c r="C252" s="725"/>
      <c r="D252" s="189">
        <f>'Company Profile'!$D$46</f>
        <v>1000000</v>
      </c>
      <c r="E252" s="188" t="s">
        <v>4</v>
      </c>
      <c r="F252" s="187">
        <v>1000</v>
      </c>
      <c r="G252" s="186">
        <v>500</v>
      </c>
      <c r="H252" s="185">
        <f>IF(E252="No",1,IF(E252="","",0))</f>
        <v>1</v>
      </c>
      <c r="I252" s="718"/>
      <c r="J252" s="719"/>
      <c r="L252" s="1"/>
      <c r="M252" s="1"/>
      <c r="N252" s="1"/>
      <c r="O252" s="1"/>
      <c r="P252" s="1"/>
      <c r="Q252" s="1"/>
      <c r="R252" s="1"/>
      <c r="S252" s="1"/>
    </row>
    <row r="253" spans="1:22" s="1" customFormat="1" ht="19.95" hidden="1" customHeight="1" outlineLevel="1" x14ac:dyDescent="0.35">
      <c r="A253" s="733"/>
      <c r="B253" s="127" t="s">
        <v>148</v>
      </c>
      <c r="C253" s="126"/>
      <c r="D253" s="125">
        <f>SUM(D248:D252)</f>
        <v>6501500</v>
      </c>
      <c r="E253" s="11"/>
      <c r="F253" s="184">
        <f>SUM(F248:F252)</f>
        <v>152050</v>
      </c>
      <c r="G253" s="11"/>
      <c r="H253" s="183">
        <f>SUMPRODUCT(D248:D252,H248:H252)/SUM(D248:D252)</f>
        <v>0.69237868184265172</v>
      </c>
      <c r="L253" s="4"/>
      <c r="M253" s="4"/>
      <c r="N253" s="4"/>
      <c r="O253" s="4"/>
      <c r="P253" s="4"/>
      <c r="Q253" s="4"/>
      <c r="R253" s="4"/>
      <c r="V253" s="4"/>
    </row>
    <row r="254" spans="1:22" ht="15" customHeight="1" collapsed="1" x14ac:dyDescent="0.35">
      <c r="U254" s="3"/>
    </row>
    <row r="255" spans="1:22" ht="19.95" customHeight="1" x14ac:dyDescent="0.35">
      <c r="A255" s="9"/>
      <c r="B255" s="739" t="s">
        <v>322</v>
      </c>
      <c r="C255" s="740"/>
      <c r="D255" s="740"/>
      <c r="E255" s="741"/>
      <c r="F255" s="891" t="s">
        <v>308</v>
      </c>
      <c r="G255" s="892"/>
      <c r="H255" s="182">
        <f>IFERROR(SUMPRODUCT(--(B400:B404="Sold or leased goods"),E400:E404,Q400:Q404)/SUMIFS(E400:E404,B400:B404,"Sold or leased goods"),"")</f>
        <v>0.71494052579740897</v>
      </c>
      <c r="I255" s="605" t="s">
        <v>321</v>
      </c>
      <c r="J255" s="705">
        <f>SUMPRODUCT(H255:H257,E405:E407)/SUM(E405:E407)</f>
        <v>0.74063981020458036</v>
      </c>
      <c r="K255" s="1"/>
      <c r="L255" s="1"/>
      <c r="M255" s="1"/>
      <c r="N255" s="1"/>
      <c r="O255" s="1"/>
      <c r="P255" s="1"/>
    </row>
    <row r="256" spans="1:22" ht="19.95" customHeight="1" x14ac:dyDescent="0.35">
      <c r="A256" s="9"/>
      <c r="B256" s="652"/>
      <c r="C256" s="653"/>
      <c r="D256" s="653"/>
      <c r="E256" s="654"/>
      <c r="F256" s="893" t="s">
        <v>307</v>
      </c>
      <c r="G256" s="894"/>
      <c r="H256" s="182">
        <f>IFERROR(SUMPRODUCT(--(B400:B404="Supplementary materials delivered to customers"),E400:E404,Q400:Q404)/SUMIFS(E400:E404,B400:B404,"Supplementary materials delivered to customers"),"")</f>
        <v>0.9854368932038835</v>
      </c>
      <c r="I256" s="738"/>
      <c r="J256" s="706"/>
      <c r="K256" s="1"/>
      <c r="L256" s="1"/>
      <c r="M256" s="1"/>
      <c r="N256" s="1"/>
      <c r="O256" s="1"/>
      <c r="P256" s="1"/>
    </row>
    <row r="257" spans="1:28" ht="19.95" customHeight="1" x14ac:dyDescent="0.35">
      <c r="A257" s="9"/>
      <c r="B257" s="652"/>
      <c r="C257" s="653"/>
      <c r="D257" s="653"/>
      <c r="E257" s="654"/>
      <c r="F257" s="735" t="s">
        <v>129</v>
      </c>
      <c r="G257" s="736"/>
      <c r="H257" s="182">
        <f>IFERROR(SUMPRODUCT(--(B400:B404="Materials used to deliver products"),E400:E404,Q400:Q404)/SUMIFS(E400:E404,B400:B404,"Materials used to deliver products"),"")</f>
        <v>0.99689826302729534</v>
      </c>
      <c r="I257" s="606"/>
      <c r="J257" s="706"/>
      <c r="K257" s="1"/>
      <c r="L257" s="1"/>
      <c r="M257" s="1"/>
      <c r="N257" s="1"/>
      <c r="O257" s="1"/>
      <c r="P257" s="1"/>
    </row>
    <row r="258" spans="1:28" ht="168.45" hidden="1" customHeight="1" outlineLevel="1" x14ac:dyDescent="0.35">
      <c r="A258" s="9"/>
      <c r="B258" s="528" t="s">
        <v>320</v>
      </c>
      <c r="C258" s="527"/>
      <c r="D258" s="527"/>
      <c r="E258" s="527"/>
      <c r="F258" s="527"/>
      <c r="G258" s="527"/>
      <c r="H258" s="527"/>
      <c r="I258" s="527"/>
      <c r="J258" s="565"/>
      <c r="K258" s="1"/>
      <c r="L258" s="1"/>
      <c r="M258" s="1"/>
      <c r="N258" s="1"/>
      <c r="O258" s="1"/>
      <c r="P258" s="1"/>
    </row>
    <row r="259" spans="1:28" ht="25.05" hidden="1" customHeight="1" outlineLevel="1" x14ac:dyDescent="0.35">
      <c r="A259" s="10"/>
      <c r="B259" s="636" t="s">
        <v>222</v>
      </c>
      <c r="C259" s="637"/>
      <c r="D259" s="637"/>
      <c r="E259" s="637"/>
      <c r="F259" s="637"/>
      <c r="G259" s="637"/>
      <c r="H259" s="637"/>
      <c r="I259" s="637"/>
      <c r="J259" s="638"/>
      <c r="K259" s="1"/>
      <c r="L259" s="1"/>
      <c r="M259" s="1"/>
      <c r="N259" s="6"/>
      <c r="O259" s="6"/>
    </row>
    <row r="260" spans="1:28" ht="22.95" hidden="1" customHeight="1" outlineLevel="1" x14ac:dyDescent="0.35">
      <c r="A260" s="9"/>
      <c r="B260" s="728" t="s">
        <v>118</v>
      </c>
      <c r="C260" s="731" t="s">
        <v>119</v>
      </c>
      <c r="D260" s="731"/>
      <c r="E260" s="731" t="s">
        <v>319</v>
      </c>
      <c r="F260" s="722" t="s">
        <v>318</v>
      </c>
      <c r="G260" s="668" t="s">
        <v>317</v>
      </c>
      <c r="H260" s="669"/>
      <c r="I260" s="668" t="s">
        <v>316</v>
      </c>
      <c r="J260" s="669"/>
      <c r="K260" s="668" t="s">
        <v>315</v>
      </c>
      <c r="L260" s="669"/>
      <c r="M260" s="668" t="s">
        <v>314</v>
      </c>
      <c r="N260" s="669"/>
      <c r="O260" s="668" t="s">
        <v>313</v>
      </c>
      <c r="P260" s="669"/>
      <c r="Q260" s="677" t="s">
        <v>312</v>
      </c>
      <c r="R260" s="662" t="s">
        <v>5</v>
      </c>
      <c r="S260" s="663"/>
    </row>
    <row r="261" spans="1:28" ht="33.450000000000003" hidden="1" customHeight="1" outlineLevel="1" x14ac:dyDescent="0.35">
      <c r="A261" s="9"/>
      <c r="B261" s="729"/>
      <c r="C261" s="732"/>
      <c r="D261" s="732"/>
      <c r="E261" s="732"/>
      <c r="F261" s="723"/>
      <c r="G261" s="356" t="s">
        <v>311</v>
      </c>
      <c r="H261" s="357" t="s">
        <v>310</v>
      </c>
      <c r="I261" s="351" t="s">
        <v>311</v>
      </c>
      <c r="J261" s="357" t="s">
        <v>310</v>
      </c>
      <c r="K261" s="358" t="s">
        <v>311</v>
      </c>
      <c r="L261" s="350" t="s">
        <v>310</v>
      </c>
      <c r="M261" s="351" t="s">
        <v>311</v>
      </c>
      <c r="N261" s="359" t="s">
        <v>310</v>
      </c>
      <c r="O261" s="360" t="s">
        <v>311</v>
      </c>
      <c r="P261" s="361" t="s">
        <v>310</v>
      </c>
      <c r="Q261" s="678"/>
      <c r="R261" s="666"/>
      <c r="S261" s="667"/>
    </row>
    <row r="262" spans="1:28" ht="19.95" hidden="1" customHeight="1" outlineLevel="1" x14ac:dyDescent="0.35">
      <c r="A262" s="9"/>
      <c r="B262" s="177" t="str">
        <f>'Company Profile'!$B$42</f>
        <v>Sold or leased goods</v>
      </c>
      <c r="C262" s="716" t="str">
        <f>'Company Profile'!$C$42</f>
        <v>Washing machines</v>
      </c>
      <c r="D262" s="717"/>
      <c r="E262" s="195">
        <f>'Company Profile'!$D$42</f>
        <v>3000000</v>
      </c>
      <c r="F262" s="173">
        <v>5</v>
      </c>
      <c r="G262" s="181">
        <v>0.8</v>
      </c>
      <c r="H262" s="180">
        <v>100</v>
      </c>
      <c r="I262" s="181">
        <v>0.9</v>
      </c>
      <c r="J262" s="180">
        <v>100</v>
      </c>
      <c r="K262" s="179">
        <v>0.9</v>
      </c>
      <c r="L262" s="142">
        <v>100</v>
      </c>
      <c r="M262" s="181">
        <v>0.5</v>
      </c>
      <c r="N262" s="180">
        <v>100</v>
      </c>
      <c r="O262" s="179">
        <v>0.5</v>
      </c>
      <c r="P262" s="142">
        <v>2</v>
      </c>
      <c r="Q262" s="178">
        <f>IF(SUM(H262+J262+L262+N262+P262)=0,"",(PRODUCT(G262,H262)+PRODUCT(I262,J262)+PRODUCT(K262,L262)+PRODUCT(M262,N262)+PRODUCT(O262,P262))/SUM(H262+J262+L262+N262+P262))</f>
        <v>0.77363184079601988</v>
      </c>
      <c r="R262" s="672"/>
      <c r="S262" s="673"/>
    </row>
    <row r="263" spans="1:28" ht="19.95" hidden="1" customHeight="1" outlineLevel="1" x14ac:dyDescent="0.35">
      <c r="A263" s="9"/>
      <c r="B263" s="177" t="str">
        <f>'Company Profile'!$B$43</f>
        <v>Sold or leased goods</v>
      </c>
      <c r="C263" s="716" t="str">
        <f>'Company Profile'!$C$43</f>
        <v>Dryers</v>
      </c>
      <c r="D263" s="717" t="str">
        <f>IF('[2]Site information'!D214="","",'[2]Site information'!D214)</f>
        <v/>
      </c>
      <c r="E263" s="191">
        <f>'Company Profile'!$D$43</f>
        <v>2000000</v>
      </c>
      <c r="F263" s="173">
        <v>4</v>
      </c>
      <c r="G263" s="174">
        <v>0.9</v>
      </c>
      <c r="H263" s="173">
        <v>90</v>
      </c>
      <c r="I263" s="174">
        <v>0.3</v>
      </c>
      <c r="J263" s="173">
        <v>5</v>
      </c>
      <c r="K263" s="172">
        <v>0.3</v>
      </c>
      <c r="L263" s="141">
        <v>50</v>
      </c>
      <c r="M263" s="174">
        <v>0.5</v>
      </c>
      <c r="N263" s="173">
        <v>50</v>
      </c>
      <c r="O263" s="172">
        <v>0.5</v>
      </c>
      <c r="P263" s="141">
        <v>2</v>
      </c>
      <c r="Q263" s="171">
        <f>IF(SUM(H263+J263+L263+N263+P263)=0,"",(PRODUCT(G263,H263)+PRODUCT(I263,J263)+PRODUCT(K263,L263)+PRODUCT(M263,N263)+PRODUCT(O263,P263))/SUM(H263+J263+L263+N263+P263))</f>
        <v>0.62690355329949243</v>
      </c>
      <c r="R263" s="672"/>
      <c r="S263" s="673"/>
    </row>
    <row r="264" spans="1:28" ht="19.95" hidden="1" customHeight="1" outlineLevel="1" x14ac:dyDescent="0.35">
      <c r="A264" s="9"/>
      <c r="B264" s="177" t="str">
        <f>'Company Profile'!$B$44</f>
        <v>Supplementary materials delivered to customers</v>
      </c>
      <c r="C264" s="716" t="str">
        <f>'Company Profile'!$C$44</f>
        <v>Instruction manuals</v>
      </c>
      <c r="D264" s="717" t="str">
        <f>IF('[2]Site information'!D215="","",'[2]Site information'!D215)</f>
        <v/>
      </c>
      <c r="E264" s="191">
        <f>'Company Profile'!$D$44</f>
        <v>1500</v>
      </c>
      <c r="F264" s="173">
        <v>3</v>
      </c>
      <c r="G264" s="174">
        <v>1</v>
      </c>
      <c r="H264" s="173">
        <v>100</v>
      </c>
      <c r="I264" s="174">
        <v>1</v>
      </c>
      <c r="J264" s="173">
        <v>100</v>
      </c>
      <c r="K264" s="172">
        <v>0.5</v>
      </c>
      <c r="L264" s="141">
        <v>2</v>
      </c>
      <c r="M264" s="174">
        <v>0.5</v>
      </c>
      <c r="N264" s="173">
        <v>2</v>
      </c>
      <c r="O264" s="172">
        <v>0.5</v>
      </c>
      <c r="P264" s="141">
        <v>2</v>
      </c>
      <c r="Q264" s="171">
        <f>IF(SUM(H264+J264+L264+N264+P264)=0,"",(PRODUCT(G264,H264)+PRODUCT(I264,J264)+PRODUCT(K264,L264)+PRODUCT(M264,N264)+PRODUCT(O264,P264))/SUM(H264+J264+L264+N264+P264))</f>
        <v>0.9854368932038835</v>
      </c>
      <c r="R264" s="672"/>
      <c r="S264" s="673"/>
    </row>
    <row r="265" spans="1:28" ht="19.95" hidden="1" customHeight="1" outlineLevel="1" x14ac:dyDescent="0.35">
      <c r="A265" s="9"/>
      <c r="B265" s="177" t="str">
        <f>'Company Profile'!$B$45</f>
        <v>Materials used to deliver products</v>
      </c>
      <c r="C265" s="716" t="str">
        <f>'Company Profile'!$C$45</f>
        <v>Wooden pallets</v>
      </c>
      <c r="D265" s="717"/>
      <c r="E265" s="191">
        <f>'Company Profile'!$D$45</f>
        <v>500000</v>
      </c>
      <c r="F265" s="173">
        <v>2</v>
      </c>
      <c r="G265" s="174">
        <v>1</v>
      </c>
      <c r="H265" s="173">
        <v>800</v>
      </c>
      <c r="I265" s="174">
        <v>0.5</v>
      </c>
      <c r="J265" s="173"/>
      <c r="K265" s="172">
        <v>0.5</v>
      </c>
      <c r="L265" s="141">
        <v>2</v>
      </c>
      <c r="M265" s="174">
        <v>0.5</v>
      </c>
      <c r="N265" s="173">
        <v>2</v>
      </c>
      <c r="O265" s="172">
        <v>0.5</v>
      </c>
      <c r="P265" s="141">
        <v>2</v>
      </c>
      <c r="Q265" s="171">
        <f>IF(SUM(H265+J265+L265+N265+P265)=0,"",(PRODUCT(G265,H265)+PRODUCT(I265,J265)+PRODUCT(K265,L265)+PRODUCT(M265,N265)+PRODUCT(O265,P265))/SUM(H265+J265+L265+N265+P265))</f>
        <v>0.99689826302729534</v>
      </c>
      <c r="R265" s="672"/>
      <c r="S265" s="673"/>
    </row>
    <row r="266" spans="1:28" ht="19.95" hidden="1" customHeight="1" outlineLevel="1" x14ac:dyDescent="0.35">
      <c r="A266" s="733"/>
      <c r="B266" s="176"/>
      <c r="C266" s="724"/>
      <c r="D266" s="725"/>
      <c r="E266" s="189"/>
      <c r="F266" s="175"/>
      <c r="G266" s="174"/>
      <c r="H266" s="173"/>
      <c r="I266" s="174"/>
      <c r="J266" s="173"/>
      <c r="K266" s="172"/>
      <c r="L266" s="141"/>
      <c r="M266" s="174"/>
      <c r="N266" s="173"/>
      <c r="O266" s="172"/>
      <c r="P266" s="141"/>
      <c r="Q266" s="171" t="str">
        <f>IF(SUM(H266+J266+L266+N266+P266)=0,"",(PRODUCT(G266,H266)+PRODUCT(I266,J266)+PRODUCT(K266,L266)+PRODUCT(M266,N266)+PRODUCT(O266,P266))/SUM(H266+J266+L266+N266+P266))</f>
        <v/>
      </c>
      <c r="R266" s="672"/>
      <c r="S266" s="673"/>
    </row>
    <row r="267" spans="1:28" s="1" customFormat="1" ht="19.95" hidden="1" customHeight="1" outlineLevel="1" x14ac:dyDescent="0.35">
      <c r="A267" s="733"/>
      <c r="B267" s="127" t="s">
        <v>309</v>
      </c>
      <c r="C267" s="126"/>
      <c r="D267" s="170"/>
      <c r="E267" s="169">
        <f>SUMIFS(E262:E266,B262:B266,"Sold or leased goods")</f>
        <v>5000000</v>
      </c>
      <c r="F267" s="681" t="s">
        <v>308</v>
      </c>
      <c r="G267" s="682"/>
      <c r="H267" s="4"/>
      <c r="I267" s="4"/>
      <c r="J267" s="4"/>
      <c r="K267" s="4"/>
      <c r="L267" s="4"/>
      <c r="M267" s="4"/>
      <c r="N267" s="4"/>
      <c r="O267" s="4"/>
      <c r="P267" s="4"/>
      <c r="Q267" s="4"/>
      <c r="R267" s="4"/>
      <c r="U267" s="4"/>
      <c r="V267" s="4"/>
      <c r="W267" s="4"/>
      <c r="X267" s="4"/>
      <c r="Y267" s="4"/>
      <c r="Z267" s="4"/>
      <c r="AA267" s="4"/>
      <c r="AB267" s="4"/>
    </row>
    <row r="268" spans="1:28" s="1" customFormat="1" ht="19.95" hidden="1" customHeight="1" outlineLevel="1" x14ac:dyDescent="0.35">
      <c r="A268" s="128"/>
      <c r="B268" s="4"/>
      <c r="C268" s="4"/>
      <c r="D268" s="4"/>
      <c r="E268" s="168">
        <f>SUMIFS(E262:E266,B262:B266,"Supplementary materials delivered to customers")</f>
        <v>1500</v>
      </c>
      <c r="F268" s="701" t="s">
        <v>307</v>
      </c>
      <c r="G268" s="702"/>
      <c r="H268" s="4"/>
      <c r="I268" s="4"/>
      <c r="J268" s="4"/>
      <c r="K268" s="4"/>
      <c r="L268" s="4"/>
      <c r="M268" s="4"/>
      <c r="N268" s="4"/>
      <c r="O268" s="4"/>
      <c r="P268" s="4"/>
      <c r="Q268" s="4"/>
      <c r="R268" s="4"/>
      <c r="V268" s="4"/>
      <c r="AB268" s="4"/>
    </row>
    <row r="269" spans="1:28" s="1" customFormat="1" ht="19.95" hidden="1" customHeight="1" outlineLevel="1" x14ac:dyDescent="0.35">
      <c r="A269" s="128"/>
      <c r="B269" s="4"/>
      <c r="C269" s="4"/>
      <c r="D269" s="4"/>
      <c r="E269" s="167">
        <f>SUMIFS(E262:E266,B262:B266,"Materials used to deliver products")</f>
        <v>500000</v>
      </c>
      <c r="F269" s="880" t="s">
        <v>129</v>
      </c>
      <c r="G269" s="881"/>
      <c r="H269" s="4"/>
      <c r="I269" s="4"/>
      <c r="J269" s="4"/>
      <c r="K269" s="4"/>
      <c r="L269" s="4"/>
      <c r="M269" s="4"/>
      <c r="N269" s="4"/>
      <c r="O269" s="4"/>
      <c r="P269" s="4"/>
      <c r="Q269" s="4"/>
      <c r="R269" s="4"/>
      <c r="V269" s="4"/>
      <c r="AB269" s="4"/>
    </row>
    <row r="270" spans="1:28" ht="15" customHeight="1" collapsed="1" x14ac:dyDescent="0.35"/>
    <row r="271" spans="1:28" ht="25.05" customHeight="1" x14ac:dyDescent="0.35">
      <c r="A271" s="9"/>
      <c r="B271" s="626" t="s">
        <v>492</v>
      </c>
      <c r="C271" s="627"/>
      <c r="D271" s="627"/>
      <c r="E271" s="627"/>
      <c r="F271" s="627"/>
      <c r="G271" s="627"/>
      <c r="H271" s="628"/>
      <c r="I271" s="714" t="s">
        <v>305</v>
      </c>
      <c r="J271" s="705">
        <f>$Q$283</f>
        <v>0.36341463414634145</v>
      </c>
      <c r="K271" s="1"/>
      <c r="L271" s="1"/>
      <c r="M271" s="1"/>
      <c r="N271" s="1"/>
      <c r="O271" s="1"/>
      <c r="P271" s="1"/>
    </row>
    <row r="272" spans="1:28" ht="25.05" customHeight="1" x14ac:dyDescent="0.35">
      <c r="A272" s="9"/>
      <c r="B272" s="629"/>
      <c r="C272" s="630"/>
      <c r="D272" s="630"/>
      <c r="E272" s="630"/>
      <c r="F272" s="630"/>
      <c r="G272" s="630"/>
      <c r="H272" s="631"/>
      <c r="I272" s="715"/>
      <c r="J272" s="706"/>
      <c r="K272" s="1"/>
      <c r="L272" s="1"/>
      <c r="M272" s="1"/>
      <c r="N272" s="1"/>
      <c r="O272" s="1"/>
      <c r="P272" s="1"/>
    </row>
    <row r="273" spans="1:21" ht="177.45" hidden="1" customHeight="1" outlineLevel="1" x14ac:dyDescent="0.35">
      <c r="A273" s="9"/>
      <c r="B273" s="528" t="s">
        <v>491</v>
      </c>
      <c r="C273" s="527"/>
      <c r="D273" s="527"/>
      <c r="E273" s="527"/>
      <c r="F273" s="527"/>
      <c r="G273" s="527"/>
      <c r="H273" s="527"/>
      <c r="I273" s="527"/>
      <c r="J273" s="565"/>
      <c r="K273" s="1"/>
      <c r="L273" s="1"/>
      <c r="M273" s="1"/>
      <c r="N273" s="1"/>
      <c r="O273" s="1"/>
      <c r="P273" s="1"/>
    </row>
    <row r="274" spans="1:21" ht="25.05" hidden="1" customHeight="1" outlineLevel="1" x14ac:dyDescent="0.35">
      <c r="A274" s="10"/>
      <c r="B274" s="636" t="s">
        <v>222</v>
      </c>
      <c r="C274" s="637"/>
      <c r="D274" s="637"/>
      <c r="E274" s="637"/>
      <c r="F274" s="637"/>
      <c r="G274" s="637"/>
      <c r="H274" s="637"/>
      <c r="I274" s="637"/>
      <c r="J274" s="638"/>
      <c r="K274" s="1"/>
      <c r="L274" s="1"/>
      <c r="M274" s="1"/>
      <c r="N274" s="6"/>
      <c r="O274" s="6"/>
    </row>
    <row r="275" spans="1:21" ht="24.45" hidden="1" customHeight="1" outlineLevel="1" x14ac:dyDescent="0.35">
      <c r="A275" s="9"/>
      <c r="B275" s="662" t="s">
        <v>423</v>
      </c>
      <c r="C275" s="764"/>
      <c r="D275" s="684" t="s">
        <v>422</v>
      </c>
      <c r="E275" s="720" t="s">
        <v>490</v>
      </c>
      <c r="F275" s="734"/>
      <c r="G275" s="721"/>
      <c r="H275" s="720" t="s">
        <v>489</v>
      </c>
      <c r="I275" s="734"/>
      <c r="J275" s="721"/>
      <c r="K275" s="362" t="s">
        <v>488</v>
      </c>
      <c r="L275" s="720" t="s">
        <v>487</v>
      </c>
      <c r="M275" s="721"/>
      <c r="N275" s="362" t="s">
        <v>486</v>
      </c>
      <c r="O275" s="720" t="s">
        <v>485</v>
      </c>
      <c r="P275" s="721"/>
      <c r="Q275" s="677" t="s">
        <v>484</v>
      </c>
      <c r="R275" s="662" t="s">
        <v>483</v>
      </c>
      <c r="S275" s="663"/>
      <c r="U275" s="3"/>
    </row>
    <row r="276" spans="1:21" ht="51.45" hidden="1" customHeight="1" outlineLevel="1" x14ac:dyDescent="0.35">
      <c r="A276" s="9"/>
      <c r="B276" s="664"/>
      <c r="C276" s="765"/>
      <c r="D276" s="710"/>
      <c r="E276" s="356" t="s">
        <v>482</v>
      </c>
      <c r="F276" s="345" t="s">
        <v>481</v>
      </c>
      <c r="G276" s="359" t="s">
        <v>480</v>
      </c>
      <c r="H276" s="363" t="s">
        <v>479</v>
      </c>
      <c r="I276" s="345" t="s">
        <v>478</v>
      </c>
      <c r="J276" s="364" t="s">
        <v>477</v>
      </c>
      <c r="K276" s="354" t="s">
        <v>476</v>
      </c>
      <c r="L276" s="363" t="s">
        <v>475</v>
      </c>
      <c r="M276" s="364" t="s">
        <v>474</v>
      </c>
      <c r="N276" s="354" t="s">
        <v>473</v>
      </c>
      <c r="O276" s="363" t="s">
        <v>472</v>
      </c>
      <c r="P276" s="364" t="s">
        <v>471</v>
      </c>
      <c r="Q276" s="692"/>
      <c r="R276" s="664"/>
      <c r="S276" s="665"/>
      <c r="U276" s="3"/>
    </row>
    <row r="277" spans="1:21" ht="18.45" hidden="1" customHeight="1" outlineLevel="1" x14ac:dyDescent="0.35">
      <c r="A277" s="166"/>
      <c r="B277" s="666"/>
      <c r="C277" s="766"/>
      <c r="D277" s="711"/>
      <c r="E277" s="712" t="s">
        <v>470</v>
      </c>
      <c r="F277" s="858"/>
      <c r="G277" s="713"/>
      <c r="H277" s="712" t="s">
        <v>470</v>
      </c>
      <c r="I277" s="858"/>
      <c r="J277" s="713"/>
      <c r="K277" s="365"/>
      <c r="L277" s="712" t="s">
        <v>288</v>
      </c>
      <c r="M277" s="713"/>
      <c r="N277" s="365"/>
      <c r="O277" s="712" t="s">
        <v>288</v>
      </c>
      <c r="P277" s="713"/>
      <c r="Q277" s="855"/>
      <c r="R277" s="666"/>
      <c r="S277" s="667"/>
      <c r="U277" s="3"/>
    </row>
    <row r="278" spans="1:21" ht="19.95" hidden="1" customHeight="1" outlineLevel="1" x14ac:dyDescent="0.35">
      <c r="A278" s="9"/>
      <c r="B278" s="624" t="str">
        <f>'Company Profile'!$B$24</f>
        <v>Jonesville plant</v>
      </c>
      <c r="C278" s="625"/>
      <c r="D278" s="137">
        <f>'Company Profile'!$C$24</f>
        <v>3000</v>
      </c>
      <c r="E278" s="250" t="s">
        <v>3</v>
      </c>
      <c r="F278" s="252"/>
      <c r="G278" s="249"/>
      <c r="H278" s="250"/>
      <c r="I278" s="252"/>
      <c r="J278" s="249"/>
      <c r="K278" s="251"/>
      <c r="L278" s="250"/>
      <c r="M278" s="249"/>
      <c r="N278" s="251"/>
      <c r="O278" s="250"/>
      <c r="P278" s="249"/>
      <c r="Q278" s="248">
        <f>IF(E278="No",0,IF(AND(E278="Yes",COUNTIF(H278:K278,"Yes")=0,COUNTIF(L278:O278,"Yes")=0),0.3,IF(AND(E278="Yes",COUNTIF(H278:K278,"Yes")=1,COUNTIF(L278:O278,"Yes")=0),0.5,IF(AND(E278="Yes",COUNTIF(H278:K278,"Yes")=2,COUNTIF(L278:O278,"Yes")=0),0.7,IF(AND(E278="Yes",COUNTIF(H278:K278,"Yes")=0,COUNTIF(L278:O278,"Yes")=1),0.4,IF(AND(E278="Yes",COUNTIF(H278:K278,"Yes")=0,COUNTIF(L278:O278,"Yes")=2),0.5,
IF(AND(E278="Yes",COUNTIF(H278:K278,"Yes")=0,COUNTIF(L278:O278,"Yes")=3),0.6,IF(AND(E278="Yes",COUNTIF(H278:K278,"Yes")=1,COUNTIF(L278:O278,"Yes")=1),0.6,IF(AND(E278="Yes",COUNTIF(H278:K278,"Yes")=1,COUNTIF(L278:O278,"Yes")=2),0.7,IF(AND(E278="Yes",COUNTIF(H278:K278,"Yes")=1,COUNTIF(L278:O278,"Yes")=3),0.8,IF(AND(E278="Yes",COUNTIF(H278:K278,"Yes")=2,COUNTIF(L278:O278,"Yes")=1),0.8,IF(AND(E278="Yes",COUNTIF(H278:K278,"Yes")=2,COUNTIF(L278:O278,"Yes")=2),0.9,IF(AND(E278="Yes",COUNTIF(H278:K278,"Yes")=2,COUNTIF(L278:O278,"Yes")=3),1,0)))))))))))))</f>
        <v>0.3</v>
      </c>
      <c r="R278" s="672"/>
      <c r="S278" s="673"/>
      <c r="U278" s="3"/>
    </row>
    <row r="279" spans="1:21" ht="19.95" hidden="1" customHeight="1" outlineLevel="1" x14ac:dyDescent="0.35">
      <c r="A279" s="9"/>
      <c r="B279" s="607" t="str">
        <f>'Company Profile'!$B$25</f>
        <v>Smithtown warehouse</v>
      </c>
      <c r="C279" s="608" t="str">
        <f>IF('[2]Site information'!C255="","",'[2]Site information'!C255)</f>
        <v/>
      </c>
      <c r="D279" s="131">
        <f>'Company Profile'!$C$25</f>
        <v>100</v>
      </c>
      <c r="E279" s="244" t="s">
        <v>4</v>
      </c>
      <c r="F279" s="246"/>
      <c r="G279" s="243"/>
      <c r="H279" s="244" t="s">
        <v>3</v>
      </c>
      <c r="I279" s="246"/>
      <c r="J279" s="243"/>
      <c r="K279" s="247" t="s">
        <v>4</v>
      </c>
      <c r="L279" s="244" t="s">
        <v>3</v>
      </c>
      <c r="M279" s="243"/>
      <c r="N279" s="247" t="s">
        <v>3</v>
      </c>
      <c r="O279" s="244" t="s">
        <v>3</v>
      </c>
      <c r="P279" s="243"/>
      <c r="Q279" s="165">
        <f>IF(E279="No",0,IF(AND(E279="Yes",COUNTIF(H279:K279,"Yes")=0,COUNTIF(L279:O279,"Yes")=0),0.3,IF(AND(E279="Yes",COUNTIF(H279:K279,"Yes")=1,COUNTIF(L279:O279,"Yes")=0),0.5,IF(AND(E279="Yes",COUNTIF(H279:K279,"Yes")=2,COUNTIF(L279:O279,"Yes")=0),0.7,IF(AND(E279="Yes",COUNTIF(H279:K279,"Yes")=0,COUNTIF(L279:O279,"Yes")=1),0.4,IF(AND(E279="Yes",COUNTIF(H279:K279,"Yes")=0,COUNTIF(L279:O279,"Yes")=2),0.5,
IF(AND(E279="Yes",COUNTIF(H279:K279,"Yes")=0,COUNTIF(L279:O279,"Yes")=3),0.6,IF(AND(E279="Yes",COUNTIF(H279:K279,"Yes")=1,COUNTIF(L279:O279,"Yes")=1),0.6,IF(AND(E279="Yes",COUNTIF(H279:K279,"Yes")=1,COUNTIF(L279:O279,"Yes")=2),0.7,IF(AND(E279="Yes",COUNTIF(H279:K279,"Yes")=1,COUNTIF(L279:O279,"Yes")=3),0.8,IF(AND(E279="Yes",COUNTIF(H279:K279,"Yes")=2,COUNTIF(L279:O279,"Yes")=1),0.8,IF(AND(E279="Yes",COUNTIF(H279:K279,"Yes")=2,COUNTIF(L279:O279,"Yes")=2),0.9,IF(AND(E279="Yes",COUNTIF(H279:K279,"Yes")=2,COUNTIF(L279:O279,"Yes")=3),1,0)))))))))))))</f>
        <v>0</v>
      </c>
      <c r="R279" s="670"/>
      <c r="S279" s="671"/>
      <c r="U279" s="3"/>
    </row>
    <row r="280" spans="1:21" ht="19.95" hidden="1" customHeight="1" outlineLevel="1" x14ac:dyDescent="0.35">
      <c r="A280" s="9"/>
      <c r="B280" s="607" t="str">
        <f>'Company Profile'!$B$26</f>
        <v>Brocktown office</v>
      </c>
      <c r="C280" s="608" t="str">
        <f>IF('[2]Site information'!C256="","",'[2]Site information'!C256)</f>
        <v/>
      </c>
      <c r="D280" s="131">
        <f>'Company Profile'!$C$26</f>
        <v>200</v>
      </c>
      <c r="E280" s="244" t="s">
        <v>3</v>
      </c>
      <c r="F280" s="246"/>
      <c r="G280" s="243"/>
      <c r="H280" s="244" t="s">
        <v>4</v>
      </c>
      <c r="I280" s="246"/>
      <c r="J280" s="243"/>
      <c r="K280" s="245" t="s">
        <v>3</v>
      </c>
      <c r="L280" s="244"/>
      <c r="M280" s="243"/>
      <c r="N280" s="245" t="s">
        <v>4</v>
      </c>
      <c r="O280" s="244"/>
      <c r="P280" s="243"/>
      <c r="Q280" s="164">
        <f>IF(E280="No",0,IF(AND(E280="Yes",COUNTIF(H280:K280,"Yes")=0,COUNTIF(L280:O280,"Yes")=0),0.3,IF(AND(E280="Yes",COUNTIF(H280:K280,"Yes")=1,COUNTIF(L280:O280,"Yes")=0),0.5,IF(AND(E280="Yes",COUNTIF(H280:K280,"Yes")=2,COUNTIF(L280:O280,"Yes")=0),0.7,IF(AND(E280="Yes",COUNTIF(H280:K280,"Yes")=0,COUNTIF(L280:O280,"Yes")=1),0.4,IF(AND(E280="Yes",COUNTIF(H280:K280,"Yes")=0,COUNTIF(L280:O280,"Yes")=2),0.5,
IF(AND(E280="Yes",COUNTIF(H280:K280,"Yes")=0,COUNTIF(L280:O280,"Yes")=3),0.6,IF(AND(E280="Yes",COUNTIF(H280:K280,"Yes")=1,COUNTIF(L280:O280,"Yes")=1),0.6,IF(AND(E280="Yes",COUNTIF(H280:K280,"Yes")=1,COUNTIF(L280:O280,"Yes")=2),0.7,IF(AND(E280="Yes",COUNTIF(H280:K280,"Yes")=1,COUNTIF(L280:O280,"Yes")=3),0.8,IF(AND(E280="Yes",COUNTIF(H280:K280,"Yes")=2,COUNTIF(L280:O280,"Yes")=1),0.8,IF(AND(E280="Yes",COUNTIF(H280:K280,"Yes")=2,COUNTIF(L280:O280,"Yes")=2),0.9,IF(AND(E280="Yes",COUNTIF(H280:K280,"Yes")=2,COUNTIF(L280:O280,"Yes")=3),1,0)))))))))))))</f>
        <v>0.5</v>
      </c>
      <c r="R280" s="670"/>
      <c r="S280" s="671"/>
      <c r="U280" s="3"/>
    </row>
    <row r="281" spans="1:21" ht="19.95" hidden="1" customHeight="1" outlineLevel="1" x14ac:dyDescent="0.35">
      <c r="A281" s="9"/>
      <c r="B281" s="607" t="str">
        <f>'Company Profile'!$B$27</f>
        <v>Edenville office</v>
      </c>
      <c r="C281" s="608"/>
      <c r="D281" s="131">
        <f>'Company Profile'!$C$27</f>
        <v>300</v>
      </c>
      <c r="E281" s="244" t="s">
        <v>3</v>
      </c>
      <c r="F281" s="246"/>
      <c r="G281" s="243"/>
      <c r="H281" s="244" t="s">
        <v>3</v>
      </c>
      <c r="I281" s="246"/>
      <c r="J281" s="243"/>
      <c r="K281" s="245" t="s">
        <v>3</v>
      </c>
      <c r="L281" s="244" t="s">
        <v>3</v>
      </c>
      <c r="M281" s="243"/>
      <c r="N281" s="245"/>
      <c r="O281" s="244"/>
      <c r="P281" s="243"/>
      <c r="Q281" s="164">
        <f>IF(E281="No",0,IF(AND(E281="Yes",COUNTIF(H281:K281,"Yes")=0,COUNTIF(L281:O281,"Yes")=0),0.3,IF(AND(E281="Yes",COUNTIF(H281:K281,"Yes")=1,COUNTIF(L281:O281,"Yes")=0),0.5,IF(AND(E281="Yes",COUNTIF(H281:K281,"Yes")=2,COUNTIF(L281:O281,"Yes")=0),0.7,IF(AND(E281="Yes",COUNTIF(H281:K281,"Yes")=0,COUNTIF(L281:O281,"Yes")=1),0.4,IF(AND(E281="Yes",COUNTIF(H281:K281,"Yes")=0,COUNTIF(L281:O281,"Yes")=2),0.5,
IF(AND(E281="Yes",COUNTIF(H281:K281,"Yes")=0,COUNTIF(L281:O281,"Yes")=3),0.6,IF(AND(E281="Yes",COUNTIF(H281:K281,"Yes")=1,COUNTIF(L281:O281,"Yes")=1),0.6,IF(AND(E281="Yes",COUNTIF(H281:K281,"Yes")=1,COUNTIF(L281:O281,"Yes")=2),0.7,IF(AND(E281="Yes",COUNTIF(H281:K281,"Yes")=1,COUNTIF(L281:O281,"Yes")=3),0.8,IF(AND(E281="Yes",COUNTIF(H281:K281,"Yes")=2,COUNTIF(L281:O281,"Yes")=1),0.8,IF(AND(E281="Yes",COUNTIF(H281:K281,"Yes")=2,COUNTIF(L281:O281,"Yes")=2),0.9,IF(AND(E281="Yes",COUNTIF(H281:K281,"Yes")=2,COUNTIF(L281:O281,"Yes")=3),1,0)))))))))))))</f>
        <v>0.8</v>
      </c>
      <c r="R281" s="670"/>
      <c r="S281" s="671"/>
      <c r="U281" s="3"/>
    </row>
    <row r="282" spans="1:21" ht="19.95" hidden="1" customHeight="1" outlineLevel="1" x14ac:dyDescent="0.35">
      <c r="A282" s="733"/>
      <c r="B282" s="607" t="str">
        <f>'Company Profile'!$B$28</f>
        <v>HQ</v>
      </c>
      <c r="C282" s="608"/>
      <c r="D282" s="132">
        <f>'Company Profile'!$C$28</f>
        <v>500</v>
      </c>
      <c r="E282" s="240" t="s">
        <v>3</v>
      </c>
      <c r="F282" s="242"/>
      <c r="G282" s="239"/>
      <c r="H282" s="240" t="s">
        <v>4</v>
      </c>
      <c r="I282" s="242"/>
      <c r="J282" s="239"/>
      <c r="K282" s="241" t="s">
        <v>3</v>
      </c>
      <c r="L282" s="240"/>
      <c r="M282" s="239"/>
      <c r="N282" s="241"/>
      <c r="O282" s="240"/>
      <c r="P282" s="239"/>
      <c r="Q282" s="163">
        <f>IF(E282="No",0,IF(AND(E282="Yes",COUNTIF(H282:K282,"Yes")=0,COUNTIF(L282:O282,"Yes")=0),0.3,IF(AND(E282="Yes",COUNTIF(H282:K282,"Yes")=1,COUNTIF(L282:O282,"Yes")=0),0.5,IF(AND(E282="Yes",COUNTIF(H282:K282,"Yes")=2,COUNTIF(L282:O282,"Yes")=0),0.7,IF(AND(E282="Yes",COUNTIF(H282:K282,"Yes")=0,COUNTIF(L282:O282,"Yes")=1),0.4,IF(AND(E282="Yes",COUNTIF(H282:K282,"Yes")=0,COUNTIF(L282:O282,"Yes")=2),0.5,
IF(AND(E282="Yes",COUNTIF(H282:K282,"Yes")=0,COUNTIF(L282:O282,"Yes")=3),0.6,IF(AND(E282="Yes",COUNTIF(H282:K282,"Yes")=1,COUNTIF(L282:O282,"Yes")=1),0.6,IF(AND(E282="Yes",COUNTIF(H282:K282,"Yes")=1,COUNTIF(L282:O282,"Yes")=2),0.7,IF(AND(E282="Yes",COUNTIF(H282:K282,"Yes")=1,COUNTIF(L282:O282,"Yes")=3),0.8,IF(AND(E282="Yes",COUNTIF(H282:K282,"Yes")=2,COUNTIF(L282:O282,"Yes")=1),0.8,IF(AND(E282="Yes",COUNTIF(H282:K282,"Yes")=2,COUNTIF(L282:O282,"Yes")=2),0.9,IF(AND(E282="Yes",COUNTIF(H282:K282,"Yes")=2,COUNTIF(L282:O282,"Yes")=3),1,0)))))))))))))</f>
        <v>0.5</v>
      </c>
      <c r="R282" s="718"/>
      <c r="S282" s="719"/>
      <c r="U282" s="3"/>
    </row>
    <row r="283" spans="1:21" s="1" customFormat="1" ht="26.55" hidden="1" customHeight="1" outlineLevel="1" x14ac:dyDescent="0.35">
      <c r="A283" s="733"/>
      <c r="B283" s="127" t="s">
        <v>148</v>
      </c>
      <c r="C283" s="126"/>
      <c r="D283" s="238">
        <f>SUM(D278:D282)</f>
        <v>4100</v>
      </c>
      <c r="E283" s="237" t="s">
        <v>469</v>
      </c>
      <c r="F283" s="236" t="s">
        <v>468</v>
      </c>
      <c r="G283" s="235" t="s">
        <v>7</v>
      </c>
      <c r="H283" s="767" t="s">
        <v>467</v>
      </c>
      <c r="I283" s="234"/>
      <c r="J283" s="11"/>
      <c r="K283" s="11"/>
      <c r="L283" s="11"/>
      <c r="M283" s="11"/>
      <c r="N283" s="11"/>
      <c r="O283" s="11"/>
      <c r="P283" s="11"/>
      <c r="Q283" s="223">
        <f>SUMPRODUCT(D278:D282,Q278:Q282)/SUM(D278:D282)</f>
        <v>0.36341463414634145</v>
      </c>
      <c r="R283" s="11"/>
      <c r="U283" s="3"/>
    </row>
    <row r="284" spans="1:21" s="1" customFormat="1" ht="19.95" hidden="1" customHeight="1" outlineLevel="1" x14ac:dyDescent="0.35">
      <c r="A284" s="128"/>
      <c r="B284" s="11"/>
      <c r="C284" s="11"/>
      <c r="D284" s="11"/>
      <c r="E284" s="233">
        <v>21</v>
      </c>
      <c r="F284" s="232">
        <v>76</v>
      </c>
      <c r="G284" s="231">
        <v>2</v>
      </c>
      <c r="H284" s="768"/>
      <c r="I284" s="11"/>
      <c r="J284" s="11"/>
      <c r="K284" s="11"/>
      <c r="L284" s="11"/>
      <c r="M284" s="11"/>
      <c r="N284" s="11"/>
      <c r="O284" s="11"/>
      <c r="P284" s="11"/>
      <c r="Q284" s="230"/>
      <c r="R284" s="11"/>
      <c r="U284" s="3"/>
    </row>
    <row r="285" spans="1:21" ht="10.050000000000001" customHeight="1" collapsed="1" x14ac:dyDescent="0.35">
      <c r="U285" s="3"/>
    </row>
    <row r="286" spans="1:21" ht="25.05" customHeight="1" x14ac:dyDescent="0.35">
      <c r="A286" s="9"/>
      <c r="B286" s="626" t="s">
        <v>466</v>
      </c>
      <c r="C286" s="627"/>
      <c r="D286" s="627"/>
      <c r="E286" s="627"/>
      <c r="F286" s="627"/>
      <c r="G286" s="627"/>
      <c r="H286" s="628"/>
      <c r="I286" s="714" t="s">
        <v>305</v>
      </c>
      <c r="J286" s="705">
        <f>$F$297</f>
        <v>0.69512195121951215</v>
      </c>
      <c r="K286" s="1"/>
      <c r="L286" s="1"/>
      <c r="M286" s="1"/>
      <c r="N286" s="1"/>
      <c r="O286" s="1"/>
      <c r="P286" s="1"/>
    </row>
    <row r="287" spans="1:21" ht="25.05" customHeight="1" x14ac:dyDescent="0.35">
      <c r="A287" s="9"/>
      <c r="B287" s="629"/>
      <c r="C287" s="630"/>
      <c r="D287" s="630"/>
      <c r="E287" s="630"/>
      <c r="F287" s="630"/>
      <c r="G287" s="630"/>
      <c r="H287" s="631"/>
      <c r="I287" s="715"/>
      <c r="J287" s="706"/>
      <c r="K287" s="1"/>
      <c r="L287" s="1"/>
      <c r="M287" s="1"/>
      <c r="N287" s="1"/>
      <c r="O287" s="1"/>
      <c r="P287" s="1"/>
    </row>
    <row r="288" spans="1:21" ht="93" hidden="1" customHeight="1" outlineLevel="1" x14ac:dyDescent="0.35">
      <c r="A288" s="9"/>
      <c r="B288" s="703" t="s">
        <v>465</v>
      </c>
      <c r="C288" s="548"/>
      <c r="D288" s="548"/>
      <c r="E288" s="548"/>
      <c r="F288" s="548"/>
      <c r="G288" s="548"/>
      <c r="H288" s="548"/>
      <c r="I288" s="548"/>
      <c r="J288" s="704"/>
      <c r="K288" s="1"/>
      <c r="L288" s="1"/>
      <c r="M288" s="1"/>
      <c r="N288" s="1"/>
      <c r="O288" s="1"/>
      <c r="P288" s="1"/>
    </row>
    <row r="289" spans="1:21" ht="25.05" hidden="1" customHeight="1" outlineLevel="1" x14ac:dyDescent="0.35">
      <c r="A289" s="10"/>
      <c r="B289" s="850" t="s">
        <v>222</v>
      </c>
      <c r="C289" s="851"/>
      <c r="D289" s="851"/>
      <c r="E289" s="851"/>
      <c r="F289" s="851"/>
      <c r="G289" s="851"/>
      <c r="H289" s="851"/>
      <c r="I289" s="851"/>
      <c r="J289" s="852"/>
      <c r="K289" s="1"/>
      <c r="L289" s="1"/>
      <c r="M289" s="1"/>
      <c r="N289" s="6"/>
      <c r="O289" s="6"/>
    </row>
    <row r="290" spans="1:21" ht="24.45" hidden="1" customHeight="1" outlineLevel="1" x14ac:dyDescent="0.35">
      <c r="A290" s="9"/>
      <c r="B290" s="662" t="s">
        <v>423</v>
      </c>
      <c r="C290" s="745"/>
      <c r="D290" s="684" t="s">
        <v>422</v>
      </c>
      <c r="E290" s="684" t="s">
        <v>464</v>
      </c>
      <c r="F290" s="895" t="s">
        <v>463</v>
      </c>
      <c r="G290" s="662" t="s">
        <v>5</v>
      </c>
      <c r="H290" s="745"/>
      <c r="I290" s="745"/>
      <c r="J290" s="745"/>
      <c r="K290" s="1"/>
      <c r="L290" s="1"/>
      <c r="M290" s="1"/>
      <c r="N290" s="1"/>
      <c r="O290" s="1"/>
      <c r="P290" s="1"/>
      <c r="Q290" s="1"/>
      <c r="U290" s="3"/>
    </row>
    <row r="291" spans="1:21" ht="51.45" hidden="1" customHeight="1" outlineLevel="1" x14ac:dyDescent="0.35">
      <c r="A291" s="9"/>
      <c r="B291" s="666"/>
      <c r="C291" s="746"/>
      <c r="D291" s="711"/>
      <c r="E291" s="711"/>
      <c r="F291" s="896"/>
      <c r="G291" s="664"/>
      <c r="H291" s="856"/>
      <c r="I291" s="856"/>
      <c r="J291" s="856"/>
      <c r="K291" s="1"/>
      <c r="L291" s="1"/>
      <c r="M291" s="1"/>
      <c r="N291" s="1"/>
      <c r="O291" s="1"/>
      <c r="P291" s="1"/>
      <c r="Q291" s="1"/>
      <c r="U291" s="3"/>
    </row>
    <row r="292" spans="1:21" ht="19.95" hidden="1" customHeight="1" outlineLevel="1" x14ac:dyDescent="0.35">
      <c r="A292" s="9"/>
      <c r="B292" s="624" t="str">
        <f>'Company Profile'!$B$24</f>
        <v>Jonesville plant</v>
      </c>
      <c r="C292" s="625"/>
      <c r="D292" s="137">
        <f>'Company Profile'!$C$24</f>
        <v>3000</v>
      </c>
      <c r="E292" s="229">
        <v>2000</v>
      </c>
      <c r="F292" s="228">
        <f>IF(D292=0,"",IF(E292&gt;D292,"Error",E292/D292))</f>
        <v>0.66666666666666663</v>
      </c>
      <c r="G292" s="672"/>
      <c r="H292" s="897"/>
      <c r="I292" s="897"/>
      <c r="J292" s="673"/>
      <c r="K292" s="1"/>
      <c r="L292" s="1"/>
      <c r="M292" s="1"/>
      <c r="N292" s="1"/>
      <c r="O292" s="1"/>
      <c r="P292" s="1"/>
      <c r="Q292" s="1"/>
      <c r="U292" s="3"/>
    </row>
    <row r="293" spans="1:21" ht="19.95" hidden="1" customHeight="1" outlineLevel="1" x14ac:dyDescent="0.35">
      <c r="A293" s="9"/>
      <c r="B293" s="607" t="str">
        <f>'Company Profile'!$B$25</f>
        <v>Smithtown warehouse</v>
      </c>
      <c r="C293" s="608" t="str">
        <f>IF('[2]Site information'!C269="","",'[2]Site information'!C269)</f>
        <v/>
      </c>
      <c r="D293" s="131">
        <f>'Company Profile'!$C$25</f>
        <v>100</v>
      </c>
      <c r="E293" s="227">
        <v>30</v>
      </c>
      <c r="F293" s="226">
        <f>IF(D293=0,"",IF(E293&gt;D293,"Error",E293/D293))</f>
        <v>0.3</v>
      </c>
      <c r="G293" s="670"/>
      <c r="H293" s="834"/>
      <c r="I293" s="834"/>
      <c r="J293" s="671"/>
      <c r="K293" s="1"/>
      <c r="L293" s="1"/>
      <c r="M293" s="1"/>
      <c r="N293" s="1"/>
      <c r="O293" s="1"/>
      <c r="P293" s="1"/>
      <c r="Q293" s="1"/>
      <c r="U293" s="3"/>
    </row>
    <row r="294" spans="1:21" ht="19.95" hidden="1" customHeight="1" outlineLevel="1" x14ac:dyDescent="0.35">
      <c r="A294" s="9"/>
      <c r="B294" s="607" t="str">
        <f>'Company Profile'!$B$26</f>
        <v>Brocktown office</v>
      </c>
      <c r="C294" s="608" t="str">
        <f>IF('[2]Site information'!C270="","",'[2]Site information'!C270)</f>
        <v/>
      </c>
      <c r="D294" s="131">
        <f>'Company Profile'!$C$26</f>
        <v>200</v>
      </c>
      <c r="E294" s="227">
        <v>180</v>
      </c>
      <c r="F294" s="226">
        <f>IF(D294=0,"",IF(E294&gt;D294,"Error",E294/D294))</f>
        <v>0.9</v>
      </c>
      <c r="G294" s="670"/>
      <c r="H294" s="834"/>
      <c r="I294" s="834"/>
      <c r="J294" s="671"/>
      <c r="K294" s="1"/>
      <c r="L294" s="1"/>
      <c r="M294" s="1"/>
      <c r="N294" s="1"/>
      <c r="O294" s="1"/>
      <c r="P294" s="1"/>
      <c r="Q294" s="1"/>
      <c r="U294" s="3"/>
    </row>
    <row r="295" spans="1:21" ht="19.95" hidden="1" customHeight="1" outlineLevel="1" x14ac:dyDescent="0.35">
      <c r="A295" s="9"/>
      <c r="B295" s="607" t="str">
        <f>'Company Profile'!$B$27</f>
        <v>Edenville office</v>
      </c>
      <c r="C295" s="608"/>
      <c r="D295" s="131">
        <f>'Company Profile'!$C$27</f>
        <v>300</v>
      </c>
      <c r="E295" s="227">
        <v>190</v>
      </c>
      <c r="F295" s="226">
        <f>IF(D295=0,"",IF(E295&gt;D295,"Error",E295/D295))</f>
        <v>0.6333333333333333</v>
      </c>
      <c r="G295" s="670"/>
      <c r="H295" s="834"/>
      <c r="I295" s="834"/>
      <c r="J295" s="671"/>
      <c r="K295" s="1"/>
      <c r="L295" s="1"/>
      <c r="M295" s="1"/>
      <c r="N295" s="1"/>
      <c r="O295" s="1"/>
      <c r="P295" s="1"/>
      <c r="Q295" s="1"/>
      <c r="U295" s="3"/>
    </row>
    <row r="296" spans="1:21" ht="19.95" hidden="1" customHeight="1" outlineLevel="1" x14ac:dyDescent="0.35">
      <c r="A296" s="733"/>
      <c r="B296" s="607" t="str">
        <f>'Company Profile'!$B$28</f>
        <v>HQ</v>
      </c>
      <c r="C296" s="608"/>
      <c r="D296" s="132">
        <f>'Company Profile'!$C$28</f>
        <v>500</v>
      </c>
      <c r="E296" s="225">
        <v>450</v>
      </c>
      <c r="F296" s="224">
        <f>IF(D296=0,"",IF(E296&gt;D296,"Error",E296/D296))</f>
        <v>0.9</v>
      </c>
      <c r="G296" s="718"/>
      <c r="H296" s="846"/>
      <c r="I296" s="846"/>
      <c r="J296" s="719"/>
      <c r="K296" s="1"/>
      <c r="L296" s="1"/>
      <c r="M296" s="1"/>
      <c r="N296" s="1"/>
      <c r="O296" s="1"/>
      <c r="P296" s="1"/>
      <c r="Q296" s="1"/>
      <c r="U296" s="3"/>
    </row>
    <row r="297" spans="1:21" s="1" customFormat="1" ht="19.95" hidden="1" customHeight="1" outlineLevel="1" x14ac:dyDescent="0.35">
      <c r="A297" s="733"/>
      <c r="B297" s="127" t="s">
        <v>148</v>
      </c>
      <c r="C297" s="126"/>
      <c r="D297" s="125">
        <f>SUM(D292:D296)</f>
        <v>4100</v>
      </c>
      <c r="E297" s="11"/>
      <c r="F297" s="223">
        <f>SUMPRODUCT(D292:D296,F292:F296)/SUM(D292:D296)</f>
        <v>0.69512195121951215</v>
      </c>
      <c r="G297" s="11"/>
      <c r="I297" s="11"/>
      <c r="K297" s="4"/>
      <c r="L297" s="4"/>
      <c r="M297" s="4"/>
      <c r="N297" s="4"/>
      <c r="O297" s="4"/>
      <c r="P297" s="4"/>
      <c r="Q297" s="4"/>
      <c r="U297" s="3"/>
    </row>
    <row r="298" spans="1:21" ht="15" customHeight="1" collapsed="1" x14ac:dyDescent="0.35">
      <c r="U298" s="3"/>
    </row>
    <row r="299" spans="1:21" ht="25.05" customHeight="1" x14ac:dyDescent="0.35">
      <c r="A299" s="9"/>
      <c r="B299" s="626" t="s">
        <v>462</v>
      </c>
      <c r="C299" s="627"/>
      <c r="D299" s="627"/>
      <c r="E299" s="627"/>
      <c r="F299" s="627"/>
      <c r="G299" s="627"/>
      <c r="H299" s="628"/>
      <c r="I299" s="714" t="s">
        <v>425</v>
      </c>
      <c r="J299" s="705">
        <f>$O$311</f>
        <v>0.50731707317073171</v>
      </c>
      <c r="K299" s="1"/>
      <c r="L299" s="1"/>
      <c r="M299" s="1"/>
      <c r="N299" s="1"/>
      <c r="O299" s="1"/>
      <c r="P299" s="1"/>
    </row>
    <row r="300" spans="1:21" ht="25.05" customHeight="1" x14ac:dyDescent="0.35">
      <c r="A300" s="9"/>
      <c r="B300" s="629"/>
      <c r="C300" s="630"/>
      <c r="D300" s="630"/>
      <c r="E300" s="630"/>
      <c r="F300" s="630"/>
      <c r="G300" s="630"/>
      <c r="H300" s="631"/>
      <c r="I300" s="715"/>
      <c r="J300" s="706"/>
      <c r="K300" s="1"/>
      <c r="L300" s="1"/>
      <c r="M300" s="1"/>
      <c r="N300" s="1"/>
      <c r="O300" s="1"/>
      <c r="P300" s="1"/>
    </row>
    <row r="301" spans="1:21" ht="88.95" hidden="1" customHeight="1" outlineLevel="1" x14ac:dyDescent="0.35">
      <c r="A301" s="9"/>
      <c r="B301" s="528" t="s">
        <v>461</v>
      </c>
      <c r="C301" s="527"/>
      <c r="D301" s="527"/>
      <c r="E301" s="527"/>
      <c r="F301" s="527"/>
      <c r="G301" s="527"/>
      <c r="H301" s="527"/>
      <c r="I301" s="527"/>
      <c r="J301" s="565"/>
      <c r="K301" s="1"/>
      <c r="L301" s="1"/>
      <c r="M301" s="1"/>
      <c r="N301" s="1"/>
      <c r="O301" s="1"/>
      <c r="P301" s="1"/>
    </row>
    <row r="302" spans="1:21" ht="25.05" hidden="1" customHeight="1" outlineLevel="1" x14ac:dyDescent="0.35">
      <c r="A302" s="10"/>
      <c r="B302" s="636" t="s">
        <v>222</v>
      </c>
      <c r="C302" s="637"/>
      <c r="D302" s="637"/>
      <c r="E302" s="637"/>
      <c r="F302" s="637"/>
      <c r="G302" s="637"/>
      <c r="H302" s="637"/>
      <c r="I302" s="637"/>
      <c r="J302" s="638"/>
      <c r="K302" s="1"/>
      <c r="L302" s="1"/>
      <c r="M302" s="1"/>
      <c r="N302" s="6"/>
      <c r="O302" s="6"/>
    </row>
    <row r="303" spans="1:21" ht="36.450000000000003" hidden="1" customHeight="1" outlineLevel="1" x14ac:dyDescent="0.35">
      <c r="A303" s="9"/>
      <c r="B303" s="662" t="s">
        <v>423</v>
      </c>
      <c r="C303" s="764"/>
      <c r="D303" s="632" t="s">
        <v>422</v>
      </c>
      <c r="E303" s="366" t="s">
        <v>460</v>
      </c>
      <c r="F303" s="362" t="s">
        <v>459</v>
      </c>
      <c r="G303" s="362" t="s">
        <v>458</v>
      </c>
      <c r="H303" s="720" t="s">
        <v>457</v>
      </c>
      <c r="I303" s="734"/>
      <c r="J303" s="734"/>
      <c r="K303" s="721"/>
      <c r="L303" s="720" t="s">
        <v>456</v>
      </c>
      <c r="M303" s="721"/>
      <c r="N303" s="366" t="s">
        <v>455</v>
      </c>
      <c r="O303" s="677" t="s">
        <v>454</v>
      </c>
      <c r="P303" s="662" t="s">
        <v>5</v>
      </c>
      <c r="Q303" s="663"/>
      <c r="U303" s="3"/>
    </row>
    <row r="304" spans="1:21" ht="64.95" hidden="1" customHeight="1" outlineLevel="1" x14ac:dyDescent="0.35">
      <c r="A304" s="9"/>
      <c r="B304" s="664"/>
      <c r="C304" s="765"/>
      <c r="D304" s="633"/>
      <c r="E304" s="367" t="s">
        <v>453</v>
      </c>
      <c r="F304" s="354" t="s">
        <v>452</v>
      </c>
      <c r="G304" s="354" t="s">
        <v>451</v>
      </c>
      <c r="H304" s="363" t="s">
        <v>450</v>
      </c>
      <c r="I304" s="345" t="s">
        <v>449</v>
      </c>
      <c r="J304" s="345" t="s">
        <v>448</v>
      </c>
      <c r="K304" s="364" t="s">
        <v>447</v>
      </c>
      <c r="L304" s="356" t="s">
        <v>446</v>
      </c>
      <c r="M304" s="359" t="s">
        <v>445</v>
      </c>
      <c r="N304" s="367" t="s">
        <v>444</v>
      </c>
      <c r="O304" s="692"/>
      <c r="P304" s="664"/>
      <c r="Q304" s="665"/>
      <c r="U304" s="3"/>
    </row>
    <row r="305" spans="1:21" ht="19.05" hidden="1" customHeight="1" outlineLevel="1" x14ac:dyDescent="0.35">
      <c r="A305" s="166"/>
      <c r="B305" s="666"/>
      <c r="C305" s="766"/>
      <c r="D305" s="769"/>
      <c r="E305" s="368"/>
      <c r="F305" s="365"/>
      <c r="G305" s="365"/>
      <c r="H305" s="712" t="s">
        <v>443</v>
      </c>
      <c r="I305" s="858"/>
      <c r="J305" s="858"/>
      <c r="K305" s="713"/>
      <c r="L305" s="712" t="s">
        <v>442</v>
      </c>
      <c r="M305" s="713"/>
      <c r="N305" s="368"/>
      <c r="O305" s="678"/>
      <c r="P305" s="666"/>
      <c r="Q305" s="667"/>
      <c r="U305" s="3"/>
    </row>
    <row r="306" spans="1:21" ht="19.95" hidden="1" customHeight="1" outlineLevel="1" x14ac:dyDescent="0.35">
      <c r="A306" s="9"/>
      <c r="B306" s="624" t="str">
        <f>'Company Profile'!$B$24</f>
        <v>Jonesville plant</v>
      </c>
      <c r="C306" s="625"/>
      <c r="D306" s="137">
        <f>'Company Profile'!$C$24</f>
        <v>3000</v>
      </c>
      <c r="E306" s="142" t="s">
        <v>3</v>
      </c>
      <c r="F306" s="211" t="s">
        <v>3</v>
      </c>
      <c r="G306" s="209" t="s">
        <v>4</v>
      </c>
      <c r="H306" s="142" t="s">
        <v>4</v>
      </c>
      <c r="I306" s="194"/>
      <c r="J306" s="194"/>
      <c r="K306" s="209"/>
      <c r="L306" s="142" t="s">
        <v>3</v>
      </c>
      <c r="M306" s="209"/>
      <c r="N306" s="142" t="s">
        <v>4</v>
      </c>
      <c r="O306" s="178">
        <f>IF(OR(E306&lt;&gt;"Yes",F306&lt;&gt;"Yes"),0,IF(COUNTIF(E306:N306,"Yes")=6,1,IF(COUNTIF(E306:N306,"Yes")=5,0.8,IF(COUNTIF(E306:N306,"Yes")=4,0.6,IF(COUNTIF(E306:N306,"Yes")=3,0.4,IF(COUNTIF(E306:N306,"Yes")=2,0.2,0))))))</f>
        <v>0.4</v>
      </c>
      <c r="P306" s="672"/>
      <c r="Q306" s="673"/>
      <c r="U306" s="3"/>
    </row>
    <row r="307" spans="1:21" ht="19.95" hidden="1" customHeight="1" outlineLevel="1" x14ac:dyDescent="0.35">
      <c r="A307" s="9"/>
      <c r="B307" s="607" t="str">
        <f>'Company Profile'!$B$25</f>
        <v>Smithtown warehouse</v>
      </c>
      <c r="C307" s="608" t="str">
        <f>IF('[2]Site information'!C283="","",'[2]Site information'!C283)</f>
        <v/>
      </c>
      <c r="D307" s="131">
        <f>'Company Profile'!$C$25</f>
        <v>100</v>
      </c>
      <c r="E307" s="141" t="s">
        <v>3</v>
      </c>
      <c r="F307" s="208" t="s">
        <v>3</v>
      </c>
      <c r="G307" s="200" t="s">
        <v>4</v>
      </c>
      <c r="H307" s="141" t="s">
        <v>3</v>
      </c>
      <c r="I307" s="188"/>
      <c r="J307" s="188"/>
      <c r="K307" s="200"/>
      <c r="L307" s="141" t="s">
        <v>3</v>
      </c>
      <c r="M307" s="200"/>
      <c r="N307" s="141" t="s">
        <v>3</v>
      </c>
      <c r="O307" s="178">
        <f>IF(OR(E307&lt;&gt;"Yes",F307&lt;&gt;"Yes"),0,IF(COUNTIF(E307:N307,"Yes")=6,1,IF(COUNTIF(E307:N307,"Yes")=5,0.8,IF(COUNTIF(E307:N307,"Yes")=4,0.6,IF(COUNTIF(E307:N307,"Yes")=3,0.4,IF(COUNTIF(E307:N307,"Yes")=2,0.2,0))))))</f>
        <v>0.8</v>
      </c>
      <c r="P307" s="670"/>
      <c r="Q307" s="671"/>
      <c r="U307" s="3"/>
    </row>
    <row r="308" spans="1:21" ht="19.95" hidden="1" customHeight="1" outlineLevel="1" x14ac:dyDescent="0.35">
      <c r="A308" s="9"/>
      <c r="B308" s="607" t="str">
        <f>'Company Profile'!$B$26</f>
        <v>Brocktown office</v>
      </c>
      <c r="C308" s="608" t="str">
        <f>IF('[2]Site information'!C284="","",'[2]Site information'!C284)</f>
        <v/>
      </c>
      <c r="D308" s="131">
        <f>'Company Profile'!$C$26</f>
        <v>200</v>
      </c>
      <c r="E308" s="141" t="s">
        <v>3</v>
      </c>
      <c r="F308" s="208" t="s">
        <v>3</v>
      </c>
      <c r="G308" s="200" t="s">
        <v>3</v>
      </c>
      <c r="H308" s="141" t="s">
        <v>3</v>
      </c>
      <c r="I308" s="188"/>
      <c r="J308" s="188"/>
      <c r="K308" s="200"/>
      <c r="L308" s="141" t="s">
        <v>3</v>
      </c>
      <c r="M308" s="200"/>
      <c r="N308" s="141" t="s">
        <v>3</v>
      </c>
      <c r="O308" s="178">
        <f>IF(OR(E308&lt;&gt;"Yes",F308&lt;&gt;"Yes"),0,IF(COUNTIF(E308:N308,"Yes")=6,1,IF(COUNTIF(E308:N308,"Yes")=5,0.8,IF(COUNTIF(E308:N308,"Yes")=4,0.6,IF(COUNTIF(E308:N308,"Yes")=3,0.4,IF(COUNTIF(E308:N308,"Yes")=2,0.2,0))))))</f>
        <v>1</v>
      </c>
      <c r="P308" s="670"/>
      <c r="Q308" s="671"/>
      <c r="U308" s="3"/>
    </row>
    <row r="309" spans="1:21" ht="19.95" hidden="1" customHeight="1" outlineLevel="1" x14ac:dyDescent="0.35">
      <c r="A309" s="9"/>
      <c r="B309" s="607" t="str">
        <f>'Company Profile'!$B$27</f>
        <v>Edenville office</v>
      </c>
      <c r="C309" s="608"/>
      <c r="D309" s="131">
        <f>'Company Profile'!$C$27</f>
        <v>300</v>
      </c>
      <c r="E309" s="141" t="s">
        <v>3</v>
      </c>
      <c r="F309" s="208" t="s">
        <v>3</v>
      </c>
      <c r="G309" s="200" t="s">
        <v>3</v>
      </c>
      <c r="H309" s="141" t="s">
        <v>3</v>
      </c>
      <c r="I309" s="188"/>
      <c r="J309" s="188"/>
      <c r="K309" s="200"/>
      <c r="L309" s="141" t="s">
        <v>3</v>
      </c>
      <c r="M309" s="200"/>
      <c r="N309" s="141" t="s">
        <v>3</v>
      </c>
      <c r="O309" s="178">
        <f>IF(OR(E309&lt;&gt;"Yes",F309&lt;&gt;"Yes"),0,IF(COUNTIF(E309:N309,"Yes")=6,1,IF(COUNTIF(E309:N309,"Yes")=5,0.8,IF(COUNTIF(E309:N309,"Yes")=4,0.6,IF(COUNTIF(E309:N309,"Yes")=3,0.4,IF(COUNTIF(E309:N309,"Yes")=2,0.2,0))))))</f>
        <v>1</v>
      </c>
      <c r="P309" s="670"/>
      <c r="Q309" s="671"/>
      <c r="U309" s="3"/>
    </row>
    <row r="310" spans="1:21" ht="19.95" hidden="1" customHeight="1" outlineLevel="1" x14ac:dyDescent="0.35">
      <c r="A310" s="733"/>
      <c r="B310" s="607" t="str">
        <f>'Company Profile'!$B$28</f>
        <v>HQ</v>
      </c>
      <c r="C310" s="608"/>
      <c r="D310" s="132">
        <f>'Company Profile'!$C$28</f>
        <v>500</v>
      </c>
      <c r="E310" s="138" t="s">
        <v>3</v>
      </c>
      <c r="F310" s="204" t="s">
        <v>3</v>
      </c>
      <c r="G310" s="202" t="s">
        <v>4</v>
      </c>
      <c r="H310" s="138" t="s">
        <v>4</v>
      </c>
      <c r="I310" s="203"/>
      <c r="J310" s="203"/>
      <c r="K310" s="202"/>
      <c r="L310" s="138" t="s">
        <v>3</v>
      </c>
      <c r="M310" s="202"/>
      <c r="N310" s="138" t="s">
        <v>3</v>
      </c>
      <c r="O310" s="222">
        <f>IF(OR(E310&lt;&gt;"Yes",F310&lt;&gt;"Yes"),0,IF(COUNTIF(E310:N310,"Yes")=6,1,IF(COUNTIF(E310:N310,"Yes")=5,0.8,IF(COUNTIF(E310:N310,"Yes")=4,0.6,IF(COUNTIF(E310:N310,"Yes")=3,0.4,IF(COUNTIF(E310:N310,"Yes")=2,0.2,0))))))</f>
        <v>0.6</v>
      </c>
      <c r="P310" s="718"/>
      <c r="Q310" s="719"/>
      <c r="U310" s="3"/>
    </row>
    <row r="311" spans="1:21" s="1" customFormat="1" ht="19.95" hidden="1" customHeight="1" outlineLevel="1" x14ac:dyDescent="0.35">
      <c r="A311" s="733"/>
      <c r="B311" s="127" t="s">
        <v>148</v>
      </c>
      <c r="C311" s="126"/>
      <c r="D311" s="125">
        <f>SUM(D306:D310)</f>
        <v>4100</v>
      </c>
      <c r="E311" s="11"/>
      <c r="F311" s="11"/>
      <c r="G311" s="11"/>
      <c r="H311" s="11"/>
      <c r="I311" s="11"/>
      <c r="J311" s="11"/>
      <c r="K311" s="11"/>
      <c r="L311" s="11"/>
      <c r="M311" s="11"/>
      <c r="N311" s="11"/>
      <c r="O311" s="183">
        <f>SUMPRODUCT(D306:D310,O306:O310)/SUM(D306:D310)</f>
        <v>0.50731707317073171</v>
      </c>
      <c r="P311" s="11"/>
      <c r="S311" s="4"/>
      <c r="U311" s="3"/>
    </row>
    <row r="312" spans="1:21" ht="15" customHeight="1" collapsed="1" x14ac:dyDescent="0.35">
      <c r="U312" s="3"/>
    </row>
    <row r="313" spans="1:21" ht="25.05" customHeight="1" x14ac:dyDescent="0.35">
      <c r="A313" s="9"/>
      <c r="B313" s="626" t="s">
        <v>441</v>
      </c>
      <c r="C313" s="627"/>
      <c r="D313" s="627"/>
      <c r="E313" s="627"/>
      <c r="F313" s="627"/>
      <c r="G313" s="627"/>
      <c r="H313" s="628"/>
      <c r="I313" s="714" t="s">
        <v>425</v>
      </c>
      <c r="J313" s="705">
        <f>$M$325</f>
        <v>0.12195121951219512</v>
      </c>
      <c r="K313" s="1"/>
      <c r="L313" s="1"/>
      <c r="M313" s="1"/>
      <c r="N313" s="1"/>
      <c r="O313" s="1"/>
      <c r="P313" s="1"/>
    </row>
    <row r="314" spans="1:21" ht="25.05" customHeight="1" x14ac:dyDescent="0.35">
      <c r="A314" s="9"/>
      <c r="B314" s="629"/>
      <c r="C314" s="630"/>
      <c r="D314" s="630"/>
      <c r="E314" s="630"/>
      <c r="F314" s="630"/>
      <c r="G314" s="630"/>
      <c r="H314" s="631"/>
      <c r="I314" s="715"/>
      <c r="J314" s="706"/>
      <c r="K314" s="1"/>
      <c r="L314" s="1"/>
      <c r="M314" s="1"/>
      <c r="N314" s="1"/>
      <c r="O314" s="1"/>
      <c r="P314" s="1"/>
    </row>
    <row r="315" spans="1:21" ht="67.5" hidden="1" customHeight="1" outlineLevel="1" x14ac:dyDescent="0.35">
      <c r="A315" s="9"/>
      <c r="B315" s="528" t="s">
        <v>440</v>
      </c>
      <c r="C315" s="527"/>
      <c r="D315" s="527"/>
      <c r="E315" s="527"/>
      <c r="F315" s="527"/>
      <c r="G315" s="527"/>
      <c r="H315" s="527"/>
      <c r="I315" s="527"/>
      <c r="J315" s="565"/>
      <c r="K315" s="1"/>
      <c r="L315" s="1"/>
      <c r="M315" s="1"/>
      <c r="N315" s="1"/>
      <c r="O315" s="1"/>
      <c r="P315" s="1"/>
    </row>
    <row r="316" spans="1:21" ht="25.05" hidden="1" customHeight="1" outlineLevel="1" x14ac:dyDescent="0.35">
      <c r="A316" s="10"/>
      <c r="B316" s="636" t="s">
        <v>222</v>
      </c>
      <c r="C316" s="637"/>
      <c r="D316" s="637"/>
      <c r="E316" s="637"/>
      <c r="F316" s="637"/>
      <c r="G316" s="637"/>
      <c r="H316" s="637"/>
      <c r="I316" s="637"/>
      <c r="J316" s="638"/>
      <c r="K316" s="1"/>
      <c r="L316" s="1"/>
      <c r="M316" s="1"/>
      <c r="N316" s="6"/>
      <c r="O316" s="6"/>
    </row>
    <row r="317" spans="1:21" ht="36.450000000000003" hidden="1" customHeight="1" outlineLevel="1" x14ac:dyDescent="0.35">
      <c r="A317" s="9"/>
      <c r="B317" s="745" t="s">
        <v>423</v>
      </c>
      <c r="C317" s="764"/>
      <c r="D317" s="632" t="s">
        <v>422</v>
      </c>
      <c r="E317" s="720" t="s">
        <v>439</v>
      </c>
      <c r="F317" s="721"/>
      <c r="G317" s="720" t="s">
        <v>438</v>
      </c>
      <c r="H317" s="721"/>
      <c r="I317" s="720" t="s">
        <v>437</v>
      </c>
      <c r="J317" s="721"/>
      <c r="K317" s="720" t="s">
        <v>436</v>
      </c>
      <c r="L317" s="721"/>
      <c r="M317" s="677" t="s">
        <v>435</v>
      </c>
      <c r="N317" s="662" t="s">
        <v>5</v>
      </c>
      <c r="O317" s="745"/>
      <c r="U317" s="3"/>
    </row>
    <row r="318" spans="1:21" ht="64.95" hidden="1" customHeight="1" outlineLevel="1" x14ac:dyDescent="0.35">
      <c r="A318" s="9"/>
      <c r="B318" s="856"/>
      <c r="C318" s="765"/>
      <c r="D318" s="633"/>
      <c r="E318" s="363" t="s">
        <v>434</v>
      </c>
      <c r="F318" s="364" t="s">
        <v>433</v>
      </c>
      <c r="G318" s="356" t="s">
        <v>432</v>
      </c>
      <c r="H318" s="359" t="s">
        <v>431</v>
      </c>
      <c r="I318" s="363" t="s">
        <v>430</v>
      </c>
      <c r="J318" s="364" t="s">
        <v>429</v>
      </c>
      <c r="K318" s="356" t="s">
        <v>428</v>
      </c>
      <c r="L318" s="359" t="s">
        <v>427</v>
      </c>
      <c r="M318" s="692"/>
      <c r="N318" s="664"/>
      <c r="O318" s="856"/>
      <c r="U318" s="3"/>
    </row>
    <row r="319" spans="1:21" ht="24" hidden="1" customHeight="1" outlineLevel="1" x14ac:dyDescent="0.35">
      <c r="A319" s="166"/>
      <c r="B319" s="889"/>
      <c r="C319" s="890"/>
      <c r="D319" s="634"/>
      <c r="E319" s="712" t="s">
        <v>349</v>
      </c>
      <c r="F319" s="713"/>
      <c r="G319" s="712" t="s">
        <v>349</v>
      </c>
      <c r="H319" s="713"/>
      <c r="I319" s="712" t="s">
        <v>349</v>
      </c>
      <c r="J319" s="713"/>
      <c r="K319" s="712" t="s">
        <v>349</v>
      </c>
      <c r="L319" s="713"/>
      <c r="M319" s="888"/>
      <c r="N319" s="664"/>
      <c r="O319" s="856"/>
      <c r="U319" s="3"/>
    </row>
    <row r="320" spans="1:21" ht="19.95" hidden="1" customHeight="1" outlineLevel="1" x14ac:dyDescent="0.35">
      <c r="A320" s="9"/>
      <c r="B320" s="624" t="str">
        <f>'Company Profile'!$B$24</f>
        <v>Jonesville plant</v>
      </c>
      <c r="C320" s="625"/>
      <c r="D320" s="137">
        <f>'Company Profile'!$C$24</f>
        <v>3000</v>
      </c>
      <c r="E320" s="194" t="s">
        <v>3</v>
      </c>
      <c r="F320" s="218"/>
      <c r="G320" s="219" t="s">
        <v>4</v>
      </c>
      <c r="H320" s="218"/>
      <c r="I320" s="219" t="s">
        <v>3</v>
      </c>
      <c r="J320" s="218"/>
      <c r="K320" s="219" t="s">
        <v>3</v>
      </c>
      <c r="L320" s="218"/>
      <c r="M320" s="171">
        <f>IF(COUNTIF(E320:K320,"Yes")=4,1,0)</f>
        <v>0</v>
      </c>
      <c r="N320" s="672"/>
      <c r="O320" s="673"/>
      <c r="U320" s="3"/>
    </row>
    <row r="321" spans="1:21" ht="19.95" hidden="1" customHeight="1" outlineLevel="1" x14ac:dyDescent="0.35">
      <c r="A321" s="9"/>
      <c r="B321" s="607" t="str">
        <f>'Company Profile'!$B$25</f>
        <v>Smithtown warehouse</v>
      </c>
      <c r="C321" s="608" t="str">
        <f>IF('[2]Site information'!C297="","",'[2]Site information'!C297)</f>
        <v/>
      </c>
      <c r="D321" s="131">
        <f>'Company Profile'!$C$25</f>
        <v>100</v>
      </c>
      <c r="E321" s="188" t="s">
        <v>3</v>
      </c>
      <c r="F321" s="216"/>
      <c r="G321" s="217" t="s">
        <v>3</v>
      </c>
      <c r="H321" s="216"/>
      <c r="I321" s="217" t="s">
        <v>4</v>
      </c>
      <c r="J321" s="216"/>
      <c r="K321" s="217" t="s">
        <v>3</v>
      </c>
      <c r="L321" s="216"/>
      <c r="M321" s="171">
        <f>IF(COUNTIF(E321:K321,"Yes")=4,1,0)</f>
        <v>0</v>
      </c>
      <c r="N321" s="670"/>
      <c r="O321" s="671"/>
      <c r="U321" s="3"/>
    </row>
    <row r="322" spans="1:21" ht="19.95" hidden="1" customHeight="1" outlineLevel="1" x14ac:dyDescent="0.35">
      <c r="A322" s="9"/>
      <c r="B322" s="607" t="str">
        <f>'Company Profile'!$B$26</f>
        <v>Brocktown office</v>
      </c>
      <c r="C322" s="608" t="str">
        <f>IF('[2]Site information'!C298="","",'[2]Site information'!C298)</f>
        <v/>
      </c>
      <c r="D322" s="131">
        <f>'Company Profile'!$C$26</f>
        <v>200</v>
      </c>
      <c r="E322" s="188" t="s">
        <v>3</v>
      </c>
      <c r="F322" s="216"/>
      <c r="G322" s="217" t="s">
        <v>3</v>
      </c>
      <c r="H322" s="216"/>
      <c r="I322" s="217" t="s">
        <v>3</v>
      </c>
      <c r="J322" s="216"/>
      <c r="K322" s="217" t="s">
        <v>4</v>
      </c>
      <c r="L322" s="216"/>
      <c r="M322" s="171">
        <f>IF(COUNTIF(E322:K322,"Yes")=4,1,0)</f>
        <v>0</v>
      </c>
      <c r="N322" s="670"/>
      <c r="O322" s="671"/>
      <c r="U322" s="3"/>
    </row>
    <row r="323" spans="1:21" ht="19.95" hidden="1" customHeight="1" outlineLevel="1" x14ac:dyDescent="0.35">
      <c r="A323" s="9"/>
      <c r="B323" s="607" t="str">
        <f>'Company Profile'!$B$27</f>
        <v>Edenville office</v>
      </c>
      <c r="C323" s="608"/>
      <c r="D323" s="131">
        <f>'Company Profile'!$C$27</f>
        <v>300</v>
      </c>
      <c r="E323" s="188" t="s">
        <v>4</v>
      </c>
      <c r="F323" s="216"/>
      <c r="G323" s="217" t="s">
        <v>3</v>
      </c>
      <c r="H323" s="216"/>
      <c r="I323" s="217" t="s">
        <v>3</v>
      </c>
      <c r="J323" s="216"/>
      <c r="K323" s="217" t="s">
        <v>3</v>
      </c>
      <c r="L323" s="216"/>
      <c r="M323" s="171">
        <f>IF(COUNTIF(E323:K323,"Yes")=4,1,0)</f>
        <v>0</v>
      </c>
      <c r="N323" s="670"/>
      <c r="O323" s="671"/>
      <c r="U323" s="3"/>
    </row>
    <row r="324" spans="1:21" ht="19.95" hidden="1" customHeight="1" outlineLevel="1" x14ac:dyDescent="0.35">
      <c r="A324" s="733"/>
      <c r="B324" s="607" t="str">
        <f>'Company Profile'!$B$28</f>
        <v>HQ</v>
      </c>
      <c r="C324" s="608"/>
      <c r="D324" s="132">
        <f>'Company Profile'!$C$28</f>
        <v>500</v>
      </c>
      <c r="E324" s="188" t="s">
        <v>3</v>
      </c>
      <c r="F324" s="216"/>
      <c r="G324" s="217" t="s">
        <v>3</v>
      </c>
      <c r="H324" s="216"/>
      <c r="I324" s="217" t="s">
        <v>3</v>
      </c>
      <c r="J324" s="216"/>
      <c r="K324" s="217" t="s">
        <v>3</v>
      </c>
      <c r="L324" s="216"/>
      <c r="M324" s="185">
        <f>IF(COUNTIF(E324:K324,"Yes")=4,1,0)</f>
        <v>1</v>
      </c>
      <c r="N324" s="718"/>
      <c r="O324" s="719"/>
      <c r="U324" s="3"/>
    </row>
    <row r="325" spans="1:21" s="1" customFormat="1" ht="19.95" hidden="1" customHeight="1" outlineLevel="1" x14ac:dyDescent="0.35">
      <c r="A325" s="733"/>
      <c r="B325" s="127" t="s">
        <v>148</v>
      </c>
      <c r="C325" s="170"/>
      <c r="D325" s="184">
        <f>SUM(D320:D324)</f>
        <v>4100</v>
      </c>
      <c r="E325" s="11"/>
      <c r="F325" s="11"/>
      <c r="G325" s="11"/>
      <c r="H325" s="11"/>
      <c r="I325" s="11"/>
      <c r="J325" s="11"/>
      <c r="K325" s="11"/>
      <c r="L325" s="11"/>
      <c r="M325" s="183">
        <f>SUMPRODUCT(D320:D324,M320:M324)/SUM(D320:D324)</f>
        <v>0.12195121951219512</v>
      </c>
      <c r="N325" s="11"/>
      <c r="Q325" s="4"/>
      <c r="S325" s="4"/>
      <c r="U325" s="3"/>
    </row>
    <row r="326" spans="1:21" ht="15" customHeight="1" collapsed="1" x14ac:dyDescent="0.35">
      <c r="E326" s="11"/>
      <c r="F326" s="11"/>
      <c r="G326" s="11"/>
      <c r="H326" s="11"/>
      <c r="I326" s="11"/>
      <c r="J326" s="11"/>
      <c r="K326" s="11"/>
      <c r="L326" s="11"/>
      <c r="M326" s="11"/>
      <c r="N326" s="11"/>
      <c r="O326" s="11"/>
      <c r="P326" s="11"/>
      <c r="U326" s="3"/>
    </row>
    <row r="327" spans="1:21" ht="25.05" customHeight="1" x14ac:dyDescent="0.35">
      <c r="A327" s="9"/>
      <c r="B327" s="626" t="s">
        <v>426</v>
      </c>
      <c r="C327" s="627"/>
      <c r="D327" s="627"/>
      <c r="E327" s="627"/>
      <c r="F327" s="627"/>
      <c r="G327" s="627"/>
      <c r="H327" s="628"/>
      <c r="I327" s="714" t="s">
        <v>425</v>
      </c>
      <c r="J327" s="705">
        <f>$R$339</f>
        <v>0.88048780487804879</v>
      </c>
      <c r="K327" s="1"/>
      <c r="L327" s="1"/>
      <c r="M327" s="1"/>
      <c r="N327" s="1"/>
      <c r="O327" s="1"/>
      <c r="P327" s="1"/>
    </row>
    <row r="328" spans="1:21" ht="25.05" customHeight="1" x14ac:dyDescent="0.35">
      <c r="A328" s="9"/>
      <c r="B328" s="629"/>
      <c r="C328" s="630"/>
      <c r="D328" s="630"/>
      <c r="E328" s="630"/>
      <c r="F328" s="630"/>
      <c r="G328" s="630"/>
      <c r="H328" s="631"/>
      <c r="I328" s="715"/>
      <c r="J328" s="706"/>
      <c r="K328" s="1"/>
      <c r="L328" s="1"/>
      <c r="M328" s="1"/>
      <c r="N328" s="1"/>
      <c r="O328" s="1"/>
      <c r="P328" s="1"/>
    </row>
    <row r="329" spans="1:21" ht="61.05" hidden="1" customHeight="1" outlineLevel="1" x14ac:dyDescent="0.35">
      <c r="A329" s="9"/>
      <c r="B329" s="528" t="s">
        <v>424</v>
      </c>
      <c r="C329" s="527"/>
      <c r="D329" s="527"/>
      <c r="E329" s="527"/>
      <c r="F329" s="527"/>
      <c r="G329" s="527"/>
      <c r="H329" s="527"/>
      <c r="I329" s="527"/>
      <c r="J329" s="565"/>
      <c r="K329" s="1"/>
      <c r="L329" s="1"/>
      <c r="M329" s="1"/>
      <c r="N329" s="1"/>
      <c r="O329" s="1"/>
      <c r="P329" s="1"/>
    </row>
    <row r="330" spans="1:21" ht="25.05" hidden="1" customHeight="1" outlineLevel="1" x14ac:dyDescent="0.35">
      <c r="A330" s="10"/>
      <c r="B330" s="636" t="s">
        <v>222</v>
      </c>
      <c r="C330" s="637"/>
      <c r="D330" s="637"/>
      <c r="E330" s="637"/>
      <c r="F330" s="637"/>
      <c r="G330" s="637"/>
      <c r="H330" s="637"/>
      <c r="I330" s="637"/>
      <c r="J330" s="638"/>
      <c r="K330" s="1"/>
      <c r="L330" s="1"/>
      <c r="M330" s="1"/>
      <c r="N330" s="6"/>
      <c r="O330" s="6"/>
    </row>
    <row r="331" spans="1:21" ht="36.450000000000003" hidden="1" customHeight="1" outlineLevel="1" x14ac:dyDescent="0.35">
      <c r="A331" s="9"/>
      <c r="B331" s="662" t="s">
        <v>423</v>
      </c>
      <c r="C331" s="764"/>
      <c r="D331" s="632" t="s">
        <v>422</v>
      </c>
      <c r="E331" s="720" t="s">
        <v>421</v>
      </c>
      <c r="F331" s="721"/>
      <c r="G331" s="720" t="s">
        <v>420</v>
      </c>
      <c r="H331" s="721"/>
      <c r="I331" s="366" t="s">
        <v>368</v>
      </c>
      <c r="J331" s="362" t="s">
        <v>419</v>
      </c>
      <c r="K331" s="366" t="s">
        <v>418</v>
      </c>
      <c r="L331" s="362" t="s">
        <v>417</v>
      </c>
      <c r="M331" s="366" t="s">
        <v>365</v>
      </c>
      <c r="N331" s="720" t="s">
        <v>364</v>
      </c>
      <c r="O331" s="734"/>
      <c r="P331" s="734"/>
      <c r="Q331" s="721"/>
      <c r="R331" s="677" t="s">
        <v>416</v>
      </c>
      <c r="S331" s="662" t="s">
        <v>5</v>
      </c>
      <c r="T331" s="745"/>
    </row>
    <row r="332" spans="1:21" ht="77.55" hidden="1" customHeight="1" outlineLevel="1" x14ac:dyDescent="0.35">
      <c r="A332" s="9"/>
      <c r="B332" s="664"/>
      <c r="C332" s="765"/>
      <c r="D332" s="633"/>
      <c r="E332" s="363" t="s">
        <v>415</v>
      </c>
      <c r="F332" s="364" t="s">
        <v>414</v>
      </c>
      <c r="G332" s="356" t="s">
        <v>413</v>
      </c>
      <c r="H332" s="359" t="s">
        <v>412</v>
      </c>
      <c r="I332" s="354" t="s">
        <v>411</v>
      </c>
      <c r="J332" s="354" t="s">
        <v>410</v>
      </c>
      <c r="K332" s="354" t="s">
        <v>409</v>
      </c>
      <c r="L332" s="354" t="s">
        <v>408</v>
      </c>
      <c r="M332" s="354" t="s">
        <v>407</v>
      </c>
      <c r="N332" s="356" t="s">
        <v>406</v>
      </c>
      <c r="O332" s="345" t="s">
        <v>405</v>
      </c>
      <c r="P332" s="345" t="s">
        <v>404</v>
      </c>
      <c r="Q332" s="359" t="s">
        <v>403</v>
      </c>
      <c r="R332" s="692"/>
      <c r="S332" s="664"/>
      <c r="T332" s="856"/>
    </row>
    <row r="333" spans="1:21" ht="18.45" hidden="1" customHeight="1" outlineLevel="1" x14ac:dyDescent="0.35">
      <c r="A333" s="166"/>
      <c r="B333" s="666"/>
      <c r="C333" s="766"/>
      <c r="D333" s="769"/>
      <c r="E333" s="712" t="s">
        <v>349</v>
      </c>
      <c r="F333" s="713"/>
      <c r="G333" s="712" t="s">
        <v>349</v>
      </c>
      <c r="H333" s="713"/>
      <c r="I333" s="365"/>
      <c r="J333" s="365"/>
      <c r="K333" s="365"/>
      <c r="L333" s="365"/>
      <c r="M333" s="365"/>
      <c r="N333" s="712" t="s">
        <v>287</v>
      </c>
      <c r="O333" s="858"/>
      <c r="P333" s="858"/>
      <c r="Q333" s="713"/>
      <c r="R333" s="678"/>
      <c r="S333" s="666"/>
      <c r="T333" s="746"/>
    </row>
    <row r="334" spans="1:21" ht="19.95" hidden="1" customHeight="1" outlineLevel="1" x14ac:dyDescent="0.35">
      <c r="A334" s="9"/>
      <c r="B334" s="803" t="str">
        <f>'Company Profile'!$B$24</f>
        <v>Jonesville plant</v>
      </c>
      <c r="C334" s="804"/>
      <c r="D334" s="137">
        <f>'Company Profile'!$C$24</f>
        <v>3000</v>
      </c>
      <c r="E334" s="194" t="s">
        <v>4</v>
      </c>
      <c r="F334" s="218"/>
      <c r="G334" s="219" t="s">
        <v>3</v>
      </c>
      <c r="H334" s="218"/>
      <c r="I334" s="194" t="s">
        <v>3</v>
      </c>
      <c r="J334" s="211" t="s">
        <v>3</v>
      </c>
      <c r="K334" s="194" t="s">
        <v>3</v>
      </c>
      <c r="L334" s="211" t="s">
        <v>3</v>
      </c>
      <c r="M334" s="194" t="s">
        <v>3</v>
      </c>
      <c r="N334" s="219" t="s">
        <v>3</v>
      </c>
      <c r="O334" s="194"/>
      <c r="P334" s="194"/>
      <c r="Q334" s="218"/>
      <c r="R334" s="221">
        <f>IF(COUNTIF(E334:Q334,"Yes")=1,0.15,IF(COUNTIF(E334:Q334,"Yes")=2,0.3,IF(COUNTIF(E334:Q334,"Yes")=3,0.45,IF(COUNTIF(E334:Q334,"Yes")=4,0.6,IF(COUNTIF(E334:Q334,"Yes")=5,0.7,IF(COUNTIF(E334:Q334,"Yes")=6,0.8,IF(COUNTIF(E334:Q334,"Yes")=7,0.9,IF(COUNTIF(E334:Q334,"Yes")=8,1,IF(COUNTIF(E334:Q334,"Yes")=0,"")))))))))</f>
        <v>0.9</v>
      </c>
      <c r="S334" s="672"/>
      <c r="T334" s="673"/>
    </row>
    <row r="335" spans="1:21" ht="19.95" hidden="1" customHeight="1" outlineLevel="1" x14ac:dyDescent="0.35">
      <c r="A335" s="9"/>
      <c r="B335" s="730" t="str">
        <f>'Company Profile'!$B$25</f>
        <v>Smithtown warehouse</v>
      </c>
      <c r="C335" s="717"/>
      <c r="D335" s="131">
        <f>'Company Profile'!$C$25</f>
        <v>100</v>
      </c>
      <c r="E335" s="188" t="s">
        <v>3</v>
      </c>
      <c r="F335" s="216"/>
      <c r="G335" s="217" t="s">
        <v>4</v>
      </c>
      <c r="H335" s="216"/>
      <c r="I335" s="188" t="s">
        <v>3</v>
      </c>
      <c r="J335" s="208" t="s">
        <v>3</v>
      </c>
      <c r="K335" s="188" t="s">
        <v>3</v>
      </c>
      <c r="L335" s="208" t="s">
        <v>3</v>
      </c>
      <c r="M335" s="188" t="s">
        <v>3</v>
      </c>
      <c r="N335" s="217" t="s">
        <v>3</v>
      </c>
      <c r="O335" s="188"/>
      <c r="P335" s="188"/>
      <c r="Q335" s="216"/>
      <c r="R335" s="221">
        <f>IF(COUNTIF(E335:Q335,"Yes")=1,0.15,IF(COUNTIF(E335:Q335,"Yes")=2,0.3,IF(COUNTIF(E335:Q335,"Yes")=3,0.45,IF(COUNTIF(E335:Q335,"Yes")=4,0.6,IF(COUNTIF(E335:Q335,"Yes")=5,0.7,IF(COUNTIF(E335:Q335,"Yes")=6,0.8,IF(COUNTIF(E335:Q335,"Yes")=7,0.9,IF(COUNTIF(E335:Q335,"Yes")=8,1,IF(COUNTIF(E335:Q335,"Yes")=0,"")))))))))</f>
        <v>0.9</v>
      </c>
      <c r="S335" s="670"/>
      <c r="T335" s="671"/>
    </row>
    <row r="336" spans="1:21" ht="19.95" hidden="1" customHeight="1" outlineLevel="1" x14ac:dyDescent="0.35">
      <c r="A336" s="9"/>
      <c r="B336" s="730" t="str">
        <f>'Company Profile'!$B$26</f>
        <v>Brocktown office</v>
      </c>
      <c r="C336" s="717"/>
      <c r="D336" s="131">
        <f>'Company Profile'!$C$26</f>
        <v>200</v>
      </c>
      <c r="E336" s="188" t="s">
        <v>3</v>
      </c>
      <c r="F336" s="216"/>
      <c r="G336" s="217" t="s">
        <v>3</v>
      </c>
      <c r="H336" s="216"/>
      <c r="I336" s="188" t="s">
        <v>4</v>
      </c>
      <c r="J336" s="208" t="s">
        <v>3</v>
      </c>
      <c r="K336" s="188" t="s">
        <v>3</v>
      </c>
      <c r="L336" s="208" t="s">
        <v>3</v>
      </c>
      <c r="M336" s="188" t="s">
        <v>4</v>
      </c>
      <c r="N336" s="217" t="s">
        <v>4</v>
      </c>
      <c r="O336" s="188"/>
      <c r="P336" s="188"/>
      <c r="Q336" s="216"/>
      <c r="R336" s="221">
        <f>IF(COUNTIF(E336:Q336,"Yes")=1,0.15,IF(COUNTIF(E336:Q336,"Yes")=2,0.3,IF(COUNTIF(E336:Q336,"Yes")=3,0.45,IF(COUNTIF(E336:Q336,"Yes")=4,0.6,IF(COUNTIF(E336:Q336,"Yes")=5,0.7,IF(COUNTIF(E336:Q336,"Yes")=6,0.8,IF(COUNTIF(E336:Q336,"Yes")=7,0.9,IF(COUNTIF(E336:Q336,"Yes")=8,1,IF(COUNTIF(E336:Q336,"Yes")=0,"")))))))))</f>
        <v>0.7</v>
      </c>
      <c r="S336" s="670"/>
      <c r="T336" s="671"/>
    </row>
    <row r="337" spans="1:24" ht="19.95" hidden="1" customHeight="1" outlineLevel="1" x14ac:dyDescent="0.35">
      <c r="A337" s="9"/>
      <c r="B337" s="730" t="str">
        <f>'Company Profile'!$B$27</f>
        <v>Edenville office</v>
      </c>
      <c r="C337" s="717"/>
      <c r="D337" s="131">
        <f>'Company Profile'!$C$27</f>
        <v>300</v>
      </c>
      <c r="E337" s="188" t="s">
        <v>3</v>
      </c>
      <c r="F337" s="216"/>
      <c r="G337" s="217" t="s">
        <v>3</v>
      </c>
      <c r="H337" s="216"/>
      <c r="I337" s="188" t="s">
        <v>4</v>
      </c>
      <c r="J337" s="208" t="s">
        <v>4</v>
      </c>
      <c r="K337" s="188" t="s">
        <v>3</v>
      </c>
      <c r="L337" s="208" t="s">
        <v>4</v>
      </c>
      <c r="M337" s="188" t="s">
        <v>4</v>
      </c>
      <c r="N337" s="217" t="s">
        <v>3</v>
      </c>
      <c r="O337" s="188"/>
      <c r="P337" s="188"/>
      <c r="Q337" s="216"/>
      <c r="R337" s="221">
        <f>IF(COUNTIF(E337:Q337,"Yes")=1,0.15,IF(COUNTIF(E337:Q337,"Yes")=2,0.3,IF(COUNTIF(E337:Q337,"Yes")=3,0.45,IF(COUNTIF(E337:Q337,"Yes")=4,0.6,IF(COUNTIF(E337:Q337,"Yes")=5,0.7,IF(COUNTIF(E337:Q337,"Yes")=6,0.8,IF(COUNTIF(E337:Q337,"Yes")=7,0.9,IF(COUNTIF(E337:Q337,"Yes")=8,1,IF(COUNTIF(E337:Q337,"Yes")=0,"")))))))))</f>
        <v>0.6</v>
      </c>
      <c r="S337" s="670"/>
      <c r="T337" s="671"/>
    </row>
    <row r="338" spans="1:24" ht="19.95" hidden="1" customHeight="1" outlineLevel="1" x14ac:dyDescent="0.35">
      <c r="A338" s="733"/>
      <c r="B338" s="730" t="str">
        <f>'Company Profile'!$B$28</f>
        <v>HQ</v>
      </c>
      <c r="C338" s="717"/>
      <c r="D338" s="132">
        <f>'Company Profile'!$C$28</f>
        <v>500</v>
      </c>
      <c r="E338" s="203" t="s">
        <v>3</v>
      </c>
      <c r="F338" s="214"/>
      <c r="G338" s="215" t="s">
        <v>3</v>
      </c>
      <c r="H338" s="214"/>
      <c r="I338" s="203" t="s">
        <v>3</v>
      </c>
      <c r="J338" s="204" t="s">
        <v>3</v>
      </c>
      <c r="K338" s="203" t="s">
        <v>3</v>
      </c>
      <c r="L338" s="204" t="s">
        <v>3</v>
      </c>
      <c r="M338" s="203" t="s">
        <v>3</v>
      </c>
      <c r="N338" s="215" t="s">
        <v>3</v>
      </c>
      <c r="O338" s="203"/>
      <c r="P338" s="203"/>
      <c r="Q338" s="214"/>
      <c r="R338" s="221">
        <f>IF(COUNTIF(E338:Q338,"Yes")=1,0.15,IF(COUNTIF(E338:Q338,"Yes")=2,0.3,IF(COUNTIF(E338:Q338,"Yes")=3,0.45,IF(COUNTIF(E338:Q338,"Yes")=4,0.6,IF(COUNTIF(E338:Q338,"Yes")=5,0.7,IF(COUNTIF(E338:Q338,"Yes")=6,0.8,IF(COUNTIF(E338:Q338,"Yes")=7,0.9,IF(COUNTIF(E338:Q338,"Yes")=8,1,IF(COUNTIF(E338:Q338,"Yes")=0,"")))))))))</f>
        <v>1</v>
      </c>
      <c r="S338" s="718"/>
      <c r="T338" s="719"/>
    </row>
    <row r="339" spans="1:24" s="1" customFormat="1" ht="19.95" hidden="1" customHeight="1" outlineLevel="1" x14ac:dyDescent="0.35">
      <c r="A339" s="733"/>
      <c r="B339" s="127" t="s">
        <v>148</v>
      </c>
      <c r="C339" s="126"/>
      <c r="D339" s="125">
        <f>SUM(D334:D338)</f>
        <v>4100</v>
      </c>
      <c r="E339" s="4"/>
      <c r="F339" s="4"/>
      <c r="G339" s="4"/>
      <c r="H339" s="4"/>
      <c r="I339" s="4"/>
      <c r="J339" s="4"/>
      <c r="K339" s="4"/>
      <c r="L339" s="4"/>
      <c r="M339" s="4"/>
      <c r="N339" s="4"/>
      <c r="R339" s="220">
        <f>SUMPRODUCT(D334:D338,R334:R338)/SUM(D334:D338)</f>
        <v>0.88048780487804879</v>
      </c>
      <c r="S339" s="4"/>
    </row>
    <row r="340" spans="1:24" ht="15" customHeight="1" collapsed="1" x14ac:dyDescent="0.35"/>
    <row r="341" spans="1:24" ht="25.05" customHeight="1" x14ac:dyDescent="0.35">
      <c r="A341" s="9"/>
      <c r="B341" s="693" t="s">
        <v>511</v>
      </c>
      <c r="C341" s="694"/>
      <c r="D341" s="694"/>
      <c r="E341" s="694"/>
      <c r="F341" s="694"/>
      <c r="G341" s="694"/>
      <c r="H341" s="695"/>
      <c r="I341" s="699" t="s">
        <v>510</v>
      </c>
      <c r="J341" s="705">
        <f>$T$353</f>
        <v>0.75000000000000011</v>
      </c>
      <c r="K341" s="1"/>
      <c r="L341" s="1"/>
      <c r="M341" s="1"/>
      <c r="N341" s="1"/>
      <c r="O341" s="1"/>
      <c r="P341" s="1"/>
    </row>
    <row r="342" spans="1:24" ht="25.05" customHeight="1" x14ac:dyDescent="0.35">
      <c r="A342" s="9"/>
      <c r="B342" s="696"/>
      <c r="C342" s="697"/>
      <c r="D342" s="697"/>
      <c r="E342" s="697"/>
      <c r="F342" s="697"/>
      <c r="G342" s="697"/>
      <c r="H342" s="698"/>
      <c r="I342" s="700"/>
      <c r="J342" s="706"/>
      <c r="K342" s="1"/>
      <c r="L342" s="1"/>
      <c r="M342" s="1"/>
      <c r="N342" s="1"/>
      <c r="O342" s="1"/>
      <c r="P342" s="1"/>
    </row>
    <row r="343" spans="1:24" ht="109.95" hidden="1" customHeight="1" outlineLevel="1" x14ac:dyDescent="0.35">
      <c r="A343" s="9"/>
      <c r="B343" s="528" t="s">
        <v>509</v>
      </c>
      <c r="C343" s="527"/>
      <c r="D343" s="527"/>
      <c r="E343" s="527"/>
      <c r="F343" s="527"/>
      <c r="G343" s="527"/>
      <c r="H343" s="527"/>
      <c r="I343" s="527"/>
      <c r="J343" s="565"/>
      <c r="K343" s="1"/>
      <c r="L343" s="1"/>
      <c r="M343" s="1"/>
      <c r="N343" s="1"/>
      <c r="O343" s="1"/>
      <c r="P343" s="1"/>
    </row>
    <row r="344" spans="1:24" ht="25.05" hidden="1" customHeight="1" outlineLevel="1" x14ac:dyDescent="0.35">
      <c r="A344" s="10"/>
      <c r="B344" s="636" t="s">
        <v>222</v>
      </c>
      <c r="C344" s="637"/>
      <c r="D344" s="637"/>
      <c r="E344" s="637"/>
      <c r="F344" s="637"/>
      <c r="G344" s="637"/>
      <c r="H344" s="637"/>
      <c r="I344" s="637"/>
      <c r="J344" s="638"/>
      <c r="K344" s="1"/>
      <c r="L344" s="1"/>
      <c r="M344" s="1"/>
      <c r="N344" s="6"/>
      <c r="O344" s="6"/>
    </row>
    <row r="345" spans="1:24" ht="34.950000000000003" hidden="1" customHeight="1" outlineLevel="1" x14ac:dyDescent="0.35">
      <c r="A345" s="9"/>
      <c r="B345" s="662" t="s">
        <v>423</v>
      </c>
      <c r="C345" s="745"/>
      <c r="D345" s="663"/>
      <c r="E345" s="857" t="s">
        <v>508</v>
      </c>
      <c r="F345" s="721"/>
      <c r="G345" s="720" t="s">
        <v>421</v>
      </c>
      <c r="H345" s="721"/>
      <c r="I345" s="720" t="s">
        <v>420</v>
      </c>
      <c r="J345" s="721"/>
      <c r="K345" s="362" t="s">
        <v>368</v>
      </c>
      <c r="L345" s="362" t="s">
        <v>419</v>
      </c>
      <c r="M345" s="366" t="s">
        <v>418</v>
      </c>
      <c r="N345" s="369"/>
      <c r="O345" s="362" t="s">
        <v>417</v>
      </c>
      <c r="P345" s="366" t="s">
        <v>365</v>
      </c>
      <c r="Q345" s="370" t="s">
        <v>364</v>
      </c>
      <c r="R345" s="369"/>
      <c r="S345" s="371"/>
      <c r="T345" s="677" t="s">
        <v>363</v>
      </c>
      <c r="U345" s="662" t="s">
        <v>507</v>
      </c>
      <c r="V345" s="663"/>
    </row>
    <row r="346" spans="1:24" ht="82.05" hidden="1" customHeight="1" outlineLevel="1" x14ac:dyDescent="0.35">
      <c r="A346" s="9"/>
      <c r="B346" s="664"/>
      <c r="C346" s="856"/>
      <c r="D346" s="665"/>
      <c r="E346" s="372" t="s">
        <v>506</v>
      </c>
      <c r="F346" s="364" t="s">
        <v>505</v>
      </c>
      <c r="G346" s="356" t="s">
        <v>504</v>
      </c>
      <c r="H346" s="359" t="s">
        <v>503</v>
      </c>
      <c r="I346" s="363" t="s">
        <v>502</v>
      </c>
      <c r="J346" s="364" t="s">
        <v>501</v>
      </c>
      <c r="K346" s="354" t="s">
        <v>500</v>
      </c>
      <c r="L346" s="354" t="s">
        <v>499</v>
      </c>
      <c r="M346" s="356" t="s">
        <v>409</v>
      </c>
      <c r="N346" s="364" t="s">
        <v>498</v>
      </c>
      <c r="O346" s="354" t="s">
        <v>497</v>
      </c>
      <c r="P346" s="367" t="s">
        <v>496</v>
      </c>
      <c r="Q346" s="361" t="s">
        <v>406</v>
      </c>
      <c r="R346" s="345" t="s">
        <v>405</v>
      </c>
      <c r="S346" s="359" t="s">
        <v>495</v>
      </c>
      <c r="T346" s="692"/>
      <c r="U346" s="664"/>
      <c r="V346" s="665"/>
    </row>
    <row r="347" spans="1:24" ht="16.95" hidden="1" customHeight="1" outlineLevel="1" x14ac:dyDescent="0.35">
      <c r="A347" s="166"/>
      <c r="B347" s="666"/>
      <c r="C347" s="746"/>
      <c r="D347" s="667"/>
      <c r="E347" s="373"/>
      <c r="F347" s="374"/>
      <c r="G347" s="712" t="s">
        <v>288</v>
      </c>
      <c r="H347" s="713"/>
      <c r="I347" s="712" t="s">
        <v>288</v>
      </c>
      <c r="J347" s="713"/>
      <c r="K347" s="365"/>
      <c r="L347" s="365"/>
      <c r="M347" s="712" t="s">
        <v>288</v>
      </c>
      <c r="N347" s="713"/>
      <c r="O347" s="365"/>
      <c r="P347" s="368"/>
      <c r="Q347" s="712" t="s">
        <v>494</v>
      </c>
      <c r="R347" s="858"/>
      <c r="S347" s="713"/>
      <c r="T347" s="678"/>
      <c r="U347" s="666"/>
      <c r="V347" s="667"/>
    </row>
    <row r="348" spans="1:24" ht="19.95" hidden="1" customHeight="1" outlineLevel="1" x14ac:dyDescent="0.35">
      <c r="A348" s="9"/>
      <c r="B348" s="624" t="str">
        <f>'Company Profile'!$B$24</f>
        <v>Jonesville plant</v>
      </c>
      <c r="C348" s="625"/>
      <c r="D348" s="635"/>
      <c r="E348" s="209" t="s">
        <v>3</v>
      </c>
      <c r="F348" s="258" t="s">
        <v>3</v>
      </c>
      <c r="G348" s="250" t="s">
        <v>3</v>
      </c>
      <c r="H348" s="249"/>
      <c r="I348" s="250" t="s">
        <v>3</v>
      </c>
      <c r="J348" s="249"/>
      <c r="K348" s="251" t="s">
        <v>3</v>
      </c>
      <c r="L348" s="251" t="s">
        <v>3</v>
      </c>
      <c r="M348" s="250" t="s">
        <v>3</v>
      </c>
      <c r="N348" s="249"/>
      <c r="O348" s="251" t="s">
        <v>3</v>
      </c>
      <c r="P348" s="252" t="s">
        <v>4</v>
      </c>
      <c r="Q348" s="250" t="s">
        <v>3</v>
      </c>
      <c r="R348" s="252"/>
      <c r="S348" s="249"/>
      <c r="T348" s="165">
        <f>IF(AND(E348="Yes",G348="No"),0,IF(E348&lt;&gt;"Yes",0,IF(F348&lt;&gt;"Yes",0,IF(COUNTIF(G348:S348,"Yes")=8,1,IF(COUNTIF(G348:S348,"Yes")=7,0.9,IF(COUNTIF(G348:S348,"Yes")=6,0.8,IF(COUNTIF(G348:S348,"Yes")=5,0.7,IF(COUNTIF(G348:S348,"Yes")=4,0.6,IF(COUNTIF(G348:S348,"Yes")=3,0.45,IF(COUNTIF(G348:S348,"Yes")=2,0.3,IF(COUNTIF(G348:S348,"Yes")=1,0.15,IF(COUNTIF(G348:S348,"Yes")=0,0))))))))))))</f>
        <v>0.9</v>
      </c>
      <c r="U348" s="672"/>
      <c r="V348" s="673"/>
      <c r="X348" s="11"/>
    </row>
    <row r="349" spans="1:24" ht="19.95" hidden="1" customHeight="1" outlineLevel="1" x14ac:dyDescent="0.35">
      <c r="A349" s="9"/>
      <c r="B349" s="607" t="str">
        <f>'Company Profile'!$B$25</f>
        <v>Smithtown warehouse</v>
      </c>
      <c r="C349" s="608" t="str">
        <f>IF('[2]Site information'!C329="","",'[2]Site information'!C329)</f>
        <v/>
      </c>
      <c r="D349" s="609" t="str">
        <f>IF('[2]Site information'!D329="","",'[2]Site information'!D329)</f>
        <v/>
      </c>
      <c r="E349" s="200" t="s">
        <v>3</v>
      </c>
      <c r="F349" s="257" t="s">
        <v>3</v>
      </c>
      <c r="G349" s="244" t="s">
        <v>3</v>
      </c>
      <c r="H349" s="243"/>
      <c r="I349" s="244" t="s">
        <v>3</v>
      </c>
      <c r="J349" s="243"/>
      <c r="K349" s="245" t="s">
        <v>3</v>
      </c>
      <c r="L349" s="245" t="s">
        <v>3</v>
      </c>
      <c r="M349" s="244" t="s">
        <v>3</v>
      </c>
      <c r="N349" s="243"/>
      <c r="O349" s="245" t="s">
        <v>4</v>
      </c>
      <c r="P349" s="246" t="s">
        <v>4</v>
      </c>
      <c r="Q349" s="244" t="s">
        <v>3</v>
      </c>
      <c r="R349" s="246"/>
      <c r="S349" s="243"/>
      <c r="T349" s="164">
        <f>IF(AND(E349="Yes",G349="No"),0,IF(E349&lt;&gt;"Yes",0,IF(F349&lt;&gt;"Yes",0,IF(COUNTIF(G349:S349,"Yes")=8,1,IF(COUNTIF(G349:S349,"Yes")=7,0.9,IF(COUNTIF(G349:S349,"Yes")=6,0.8,IF(COUNTIF(G349:S349,"Yes")=5,0.7,IF(COUNTIF(G349:S349,"Yes")=4,0.6,IF(COUNTIF(G349:S349,"Yes")=3,0.45,IF(COUNTIF(G349:S349,"Yes")=2,0.3,IF(COUNTIF(G349:S349,"Yes")=1,0.15,IF(COUNTIF(G349:S349,"Yes")=0,0))))))))))))</f>
        <v>0.8</v>
      </c>
      <c r="U349" s="670"/>
      <c r="V349" s="671"/>
      <c r="X349" s="11"/>
    </row>
    <row r="350" spans="1:24" ht="19.95" hidden="1" customHeight="1" outlineLevel="1" x14ac:dyDescent="0.35">
      <c r="A350" s="9"/>
      <c r="B350" s="607" t="str">
        <f>'Company Profile'!$B$26</f>
        <v>Brocktown office</v>
      </c>
      <c r="C350" s="608" t="str">
        <f>IF('[2]Site information'!C330="","",'[2]Site information'!C330)</f>
        <v/>
      </c>
      <c r="D350" s="609" t="str">
        <f>IF('[2]Site information'!D330="","",'[2]Site information'!D330)</f>
        <v/>
      </c>
      <c r="E350" s="200" t="s">
        <v>3</v>
      </c>
      <c r="F350" s="257" t="s">
        <v>4</v>
      </c>
      <c r="G350" s="244" t="s">
        <v>3</v>
      </c>
      <c r="H350" s="243"/>
      <c r="I350" s="244"/>
      <c r="J350" s="243"/>
      <c r="K350" s="245"/>
      <c r="L350" s="245"/>
      <c r="M350" s="244"/>
      <c r="N350" s="243"/>
      <c r="O350" s="245"/>
      <c r="P350" s="246"/>
      <c r="Q350" s="244"/>
      <c r="R350" s="246"/>
      <c r="S350" s="243"/>
      <c r="T350" s="164">
        <f>IF(AND(E350="Yes",G350="No"),0,IF(E350&lt;&gt;"Yes",0,IF(F350&lt;&gt;"Yes",0,IF(COUNTIF(G350:S350,"Yes")=8,1,IF(COUNTIF(G350:S350,"Yes")=7,0.9,IF(COUNTIF(G350:S350,"Yes")=6,0.8,IF(COUNTIF(G350:S350,"Yes")=5,0.7,IF(COUNTIF(G350:S350,"Yes")=4,0.6,IF(COUNTIF(G350:S350,"Yes")=3,0.45,IF(COUNTIF(G350:S350,"Yes")=2,0.3,IF(COUNTIF(G350:S350,"Yes")=1,0.15,IF(COUNTIF(G350:S350,"Yes")=0,0))))))))))))</f>
        <v>0</v>
      </c>
      <c r="U350" s="670"/>
      <c r="V350" s="671"/>
      <c r="X350" s="11"/>
    </row>
    <row r="351" spans="1:24" ht="19.95" hidden="1" customHeight="1" outlineLevel="1" x14ac:dyDescent="0.35">
      <c r="A351" s="9"/>
      <c r="B351" s="607" t="str">
        <f>'Company Profile'!$B$27</f>
        <v>Edenville office</v>
      </c>
      <c r="C351" s="608"/>
      <c r="D351" s="609"/>
      <c r="E351" s="200" t="s">
        <v>3</v>
      </c>
      <c r="F351" s="257" t="s">
        <v>3</v>
      </c>
      <c r="G351" s="244" t="s">
        <v>3</v>
      </c>
      <c r="H351" s="243"/>
      <c r="I351" s="244" t="s">
        <v>3</v>
      </c>
      <c r="J351" s="243"/>
      <c r="K351" s="245" t="s">
        <v>3</v>
      </c>
      <c r="L351" s="245" t="s">
        <v>3</v>
      </c>
      <c r="M351" s="244" t="s">
        <v>4</v>
      </c>
      <c r="N351" s="243"/>
      <c r="O351" s="245"/>
      <c r="P351" s="246"/>
      <c r="Q351" s="244" t="s">
        <v>3</v>
      </c>
      <c r="R351" s="246"/>
      <c r="S351" s="243"/>
      <c r="T351" s="164">
        <f>IF(AND(E351="Yes",G351="No"),0,IF(E351&lt;&gt;"Yes",0,IF(F351&lt;&gt;"Yes",0,IF(COUNTIF(G351:S351,"Yes")=8,1,IF(COUNTIF(G351:S351,"Yes")=7,0.9,IF(COUNTIF(G351:S351,"Yes")=6,0.8,IF(COUNTIF(G351:S351,"Yes")=5,0.7,IF(COUNTIF(G351:S351,"Yes")=4,0.6,IF(COUNTIF(G351:S351,"Yes")=3,0.45,IF(COUNTIF(G351:S351,"Yes")=2,0.3,IF(COUNTIF(G351:S351,"Yes")=1,0.15,IF(COUNTIF(G351:S351,"Yes")=0,0))))))))))))</f>
        <v>0.7</v>
      </c>
      <c r="U351" s="670"/>
      <c r="V351" s="671"/>
      <c r="X351" s="11"/>
    </row>
    <row r="352" spans="1:24" ht="19.95" hidden="1" customHeight="1" outlineLevel="1" x14ac:dyDescent="0.35">
      <c r="A352" s="733"/>
      <c r="B352" s="607" t="str">
        <f>'Company Profile'!$B$28</f>
        <v>HQ</v>
      </c>
      <c r="C352" s="608"/>
      <c r="D352" s="609"/>
      <c r="E352" s="202" t="s">
        <v>3</v>
      </c>
      <c r="F352" s="256" t="s">
        <v>3</v>
      </c>
      <c r="G352" s="240" t="s">
        <v>3</v>
      </c>
      <c r="H352" s="239"/>
      <c r="I352" s="240" t="s">
        <v>3</v>
      </c>
      <c r="J352" s="239"/>
      <c r="K352" s="241" t="s">
        <v>3</v>
      </c>
      <c r="L352" s="241" t="s">
        <v>4</v>
      </c>
      <c r="M352" s="240" t="s">
        <v>4</v>
      </c>
      <c r="N352" s="239"/>
      <c r="O352" s="241" t="s">
        <v>4</v>
      </c>
      <c r="P352" s="242" t="s">
        <v>4</v>
      </c>
      <c r="Q352" s="240" t="s">
        <v>3</v>
      </c>
      <c r="R352" s="242"/>
      <c r="S352" s="239"/>
      <c r="T352" s="163">
        <f>IF(AND(E352="Yes",G352="No"),0,IF(E352&lt;&gt;"Yes",0,IF(F352&lt;&gt;"Yes",0,IF(COUNTIF(G352:S352,"Yes")=8,1,IF(COUNTIF(G352:S352,"Yes")=7,0.9,IF(COUNTIF(G352:S352,"Yes")=6,0.8,IF(COUNTIF(G352:S352,"Yes")=5,0.7,IF(COUNTIF(G352:S352,"Yes")=4,0.6,IF(COUNTIF(G352:S352,"Yes")=3,0.45,IF(COUNTIF(G352:S352,"Yes")=2,0.3,IF(COUNTIF(G352:S352,"Yes")=1,0.15,IF(COUNTIF(G352:S352,"Yes")=0,0))))))))))))</f>
        <v>0.6</v>
      </c>
      <c r="U352" s="718"/>
      <c r="V352" s="719"/>
      <c r="X352" s="11"/>
    </row>
    <row r="353" spans="1:24" s="1" customFormat="1" ht="19.95" hidden="1" customHeight="1" outlineLevel="1" x14ac:dyDescent="0.35">
      <c r="A353" s="733"/>
      <c r="B353" s="127" t="s">
        <v>309</v>
      </c>
      <c r="C353" s="126"/>
      <c r="D353" s="170"/>
      <c r="E353" s="255">
        <f>COUNTA(E348:E352)</f>
        <v>5</v>
      </c>
      <c r="F353" s="254" t="s">
        <v>493</v>
      </c>
      <c r="G353" s="4"/>
      <c r="H353" s="4"/>
      <c r="I353" s="4"/>
      <c r="J353" s="4"/>
      <c r="K353" s="4"/>
      <c r="L353" s="4"/>
      <c r="M353" s="4"/>
      <c r="N353" s="4"/>
      <c r="O353" s="4"/>
      <c r="P353" s="4"/>
      <c r="Q353" s="4"/>
      <c r="R353" s="4"/>
      <c r="T353" s="253">
        <f>SUMPRODUCT(T348:T352)/COUNTIF(F348:F352,"Yes")</f>
        <v>0.75000000000000011</v>
      </c>
    </row>
    <row r="354" spans="1:24" ht="15" customHeight="1" collapsed="1" x14ac:dyDescent="0.35"/>
    <row r="355" spans="1:24" ht="25.05" customHeight="1" x14ac:dyDescent="0.35">
      <c r="A355" s="9"/>
      <c r="B355" s="693" t="s">
        <v>402</v>
      </c>
      <c r="C355" s="694"/>
      <c r="D355" s="694"/>
      <c r="E355" s="694"/>
      <c r="F355" s="694"/>
      <c r="G355" s="694"/>
      <c r="H355" s="695"/>
      <c r="I355" s="699" t="s">
        <v>321</v>
      </c>
      <c r="J355" s="705">
        <f>$V$367</f>
        <v>0.42303699146350843</v>
      </c>
      <c r="K355" s="1"/>
      <c r="L355" s="1"/>
      <c r="M355" s="1"/>
      <c r="N355" s="1"/>
      <c r="O355" s="1"/>
      <c r="P355" s="1"/>
    </row>
    <row r="356" spans="1:24" ht="25.05" customHeight="1" x14ac:dyDescent="0.35">
      <c r="A356" s="9"/>
      <c r="B356" s="696"/>
      <c r="C356" s="697"/>
      <c r="D356" s="697"/>
      <c r="E356" s="697"/>
      <c r="F356" s="697"/>
      <c r="G356" s="697"/>
      <c r="H356" s="698"/>
      <c r="I356" s="700"/>
      <c r="J356" s="706"/>
      <c r="K356" s="1"/>
      <c r="L356" s="1"/>
      <c r="M356" s="1"/>
      <c r="N356" s="1"/>
      <c r="O356" s="1"/>
      <c r="P356" s="1"/>
    </row>
    <row r="357" spans="1:24" ht="130.94999999999999" hidden="1" customHeight="1" outlineLevel="1" x14ac:dyDescent="0.35">
      <c r="A357" s="9"/>
      <c r="B357" s="528" t="s">
        <v>401</v>
      </c>
      <c r="C357" s="527"/>
      <c r="D357" s="527"/>
      <c r="E357" s="527"/>
      <c r="F357" s="527"/>
      <c r="G357" s="527"/>
      <c r="H357" s="527"/>
      <c r="I357" s="527"/>
      <c r="J357" s="565"/>
      <c r="K357" s="1"/>
      <c r="L357" s="1"/>
      <c r="M357" s="1"/>
      <c r="N357" s="1"/>
      <c r="O357" s="1"/>
      <c r="P357" s="1"/>
    </row>
    <row r="358" spans="1:24" ht="25.05" hidden="1" customHeight="1" outlineLevel="1" x14ac:dyDescent="0.35">
      <c r="A358" s="10"/>
      <c r="B358" s="636" t="s">
        <v>222</v>
      </c>
      <c r="C358" s="637"/>
      <c r="D358" s="637"/>
      <c r="E358" s="637"/>
      <c r="F358" s="637"/>
      <c r="G358" s="637"/>
      <c r="H358" s="637"/>
      <c r="I358" s="637"/>
      <c r="J358" s="638"/>
      <c r="K358" s="1"/>
      <c r="L358" s="1"/>
      <c r="M358" s="1"/>
      <c r="N358" s="6"/>
      <c r="O358" s="6"/>
    </row>
    <row r="359" spans="1:24" ht="34.950000000000003" hidden="1" customHeight="1" outlineLevel="1" x14ac:dyDescent="0.35">
      <c r="A359" s="9"/>
      <c r="B359" s="728" t="s">
        <v>119</v>
      </c>
      <c r="C359" s="731"/>
      <c r="D359" s="812" t="s">
        <v>400</v>
      </c>
      <c r="E359" s="720" t="s">
        <v>399</v>
      </c>
      <c r="F359" s="721"/>
      <c r="G359" s="720" t="s">
        <v>398</v>
      </c>
      <c r="H359" s="721"/>
      <c r="I359" s="720" t="s">
        <v>397</v>
      </c>
      <c r="J359" s="734"/>
      <c r="K359" s="734"/>
      <c r="L359" s="734"/>
      <c r="M359" s="734"/>
      <c r="N359" s="734"/>
      <c r="O359" s="721"/>
      <c r="P359" s="720" t="s">
        <v>396</v>
      </c>
      <c r="Q359" s="734"/>
      <c r="R359" s="734"/>
      <c r="S359" s="721"/>
      <c r="T359" s="720" t="s">
        <v>395</v>
      </c>
      <c r="U359" s="721"/>
      <c r="V359" s="677" t="s">
        <v>394</v>
      </c>
      <c r="W359" s="662" t="s">
        <v>5</v>
      </c>
      <c r="X359" s="745"/>
    </row>
    <row r="360" spans="1:24" ht="82.05" hidden="1" customHeight="1" outlineLevel="1" x14ac:dyDescent="0.35">
      <c r="A360" s="9"/>
      <c r="B360" s="729"/>
      <c r="C360" s="732"/>
      <c r="D360" s="813"/>
      <c r="E360" s="356" t="s">
        <v>393</v>
      </c>
      <c r="F360" s="359" t="s">
        <v>392</v>
      </c>
      <c r="G360" s="363" t="s">
        <v>391</v>
      </c>
      <c r="H360" s="364" t="s">
        <v>390</v>
      </c>
      <c r="I360" s="356" t="s">
        <v>389</v>
      </c>
      <c r="J360" s="345" t="s">
        <v>388</v>
      </c>
      <c r="K360" s="345" t="s">
        <v>387</v>
      </c>
      <c r="L360" s="345" t="s">
        <v>386</v>
      </c>
      <c r="M360" s="345" t="s">
        <v>385</v>
      </c>
      <c r="N360" s="345" t="s">
        <v>384</v>
      </c>
      <c r="O360" s="364" t="s">
        <v>383</v>
      </c>
      <c r="P360" s="375" t="s">
        <v>382</v>
      </c>
      <c r="Q360" s="376" t="s">
        <v>381</v>
      </c>
      <c r="R360" s="376" t="s">
        <v>380</v>
      </c>
      <c r="S360" s="377" t="s">
        <v>379</v>
      </c>
      <c r="T360" s="356" t="s">
        <v>378</v>
      </c>
      <c r="U360" s="364" t="s">
        <v>377</v>
      </c>
      <c r="V360" s="692"/>
      <c r="W360" s="664"/>
      <c r="X360" s="856"/>
    </row>
    <row r="361" spans="1:24" ht="18.45" hidden="1" customHeight="1" outlineLevel="1" x14ac:dyDescent="0.35">
      <c r="A361" s="166"/>
      <c r="B361" s="729"/>
      <c r="C361" s="732"/>
      <c r="D361" s="813"/>
      <c r="E361" s="712" t="s">
        <v>349</v>
      </c>
      <c r="F361" s="713"/>
      <c r="G361" s="712" t="s">
        <v>349</v>
      </c>
      <c r="H361" s="713"/>
      <c r="I361" s="712" t="s">
        <v>376</v>
      </c>
      <c r="J361" s="858"/>
      <c r="K361" s="858"/>
      <c r="L361" s="858"/>
      <c r="M361" s="858"/>
      <c r="N361" s="858"/>
      <c r="O361" s="713"/>
      <c r="P361" s="862" t="s">
        <v>375</v>
      </c>
      <c r="Q361" s="863"/>
      <c r="R361" s="863"/>
      <c r="S361" s="864"/>
      <c r="T361" s="865" t="s">
        <v>374</v>
      </c>
      <c r="U361" s="866"/>
      <c r="V361" s="678"/>
      <c r="W361" s="666"/>
      <c r="X361" s="746"/>
    </row>
    <row r="362" spans="1:24" ht="19.95" hidden="1" customHeight="1" outlineLevel="1" x14ac:dyDescent="0.35">
      <c r="A362" s="9"/>
      <c r="B362" s="716" t="str">
        <f>'Company Profile'!$C$42</f>
        <v>Washing machines</v>
      </c>
      <c r="C362" s="717"/>
      <c r="D362" s="195">
        <f>'Company Profile'!$D$42</f>
        <v>3000000</v>
      </c>
      <c r="E362" s="219" t="s">
        <v>3</v>
      </c>
      <c r="F362" s="218"/>
      <c r="G362" s="219" t="s">
        <v>3</v>
      </c>
      <c r="H362" s="218"/>
      <c r="I362" s="219" t="s">
        <v>3</v>
      </c>
      <c r="J362" s="194"/>
      <c r="K362" s="194"/>
      <c r="L362" s="194"/>
      <c r="M362" s="194"/>
      <c r="N362" s="194"/>
      <c r="O362" s="218"/>
      <c r="P362" s="217" t="s">
        <v>3</v>
      </c>
      <c r="Q362" s="188"/>
      <c r="R362" s="188"/>
      <c r="S362" s="216"/>
      <c r="T362" s="219" t="s">
        <v>4</v>
      </c>
      <c r="U362" s="218"/>
      <c r="V362" s="178">
        <f>IF(OR($E362="No",$G362="No"),0,IF(AND($E362="Yes",$G362="Yes",$I362="Yes",$P362="Yes",$T362="Yes"),1,IF(AND($E362="Yes",$G362="Yes",COUNTIF(I362:T362,"Yes")=2),0.75,IF(AND($E362="Yes",$G362="Yes",COUNTIF(I362:T362,"Yes")=1),0.5,IF(AND($E362="Yes",$G362="Yes",COUNTIF(I362:T362,"Yes")=0),0.25,IF(OR($E362="",$G362="",$I362="",$P362="",$T362=""),"",0))))))</f>
        <v>0.75</v>
      </c>
      <c r="W362" s="672"/>
      <c r="X362" s="673"/>
    </row>
    <row r="363" spans="1:24" ht="19.95" hidden="1" customHeight="1" outlineLevel="1" x14ac:dyDescent="0.35">
      <c r="A363" s="9"/>
      <c r="B363" s="716" t="str">
        <f>'Company Profile'!$C$43</f>
        <v>Dryers</v>
      </c>
      <c r="C363" s="717" t="str">
        <f>IF('[2]Site information'!C314="","",'[2]Site information'!C314)</f>
        <v/>
      </c>
      <c r="D363" s="191">
        <f>'Company Profile'!$D$43</f>
        <v>2000000</v>
      </c>
      <c r="E363" s="217" t="s">
        <v>3</v>
      </c>
      <c r="F363" s="216"/>
      <c r="G363" s="217" t="s">
        <v>4</v>
      </c>
      <c r="H363" s="216"/>
      <c r="I363" s="217" t="s">
        <v>3</v>
      </c>
      <c r="J363" s="188"/>
      <c r="K363" s="188"/>
      <c r="L363" s="188"/>
      <c r="M363" s="188"/>
      <c r="N363" s="188"/>
      <c r="O363" s="216"/>
      <c r="P363" s="217" t="s">
        <v>3</v>
      </c>
      <c r="Q363" s="188"/>
      <c r="R363" s="188"/>
      <c r="S363" s="216"/>
      <c r="T363" s="217" t="s">
        <v>3</v>
      </c>
      <c r="U363" s="216"/>
      <c r="V363" s="171">
        <f>IF(OR($E363="No",$G363="No"),0,IF(AND($E363="Yes",$G363="Yes",$I363="Yes",$P363="Yes",$T363="Yes"),1,IF(AND($E363="Yes",$G363="Yes",COUNTIF(I363:T363,"Yes")=2),0.75,IF(AND($E363="Yes",$G363="Yes",COUNTIF(I363:T363,"Yes")=1),0.5,IF(AND($E363="Yes",$G363="Yes",COUNTIF(I363:T363,"Yes")=0),0.25,IF(OR($E363="",$G363="",$I363="",$P363="",$T363=""),"",0))))))</f>
        <v>0</v>
      </c>
      <c r="W363" s="670"/>
      <c r="X363" s="671"/>
    </row>
    <row r="364" spans="1:24" ht="19.95" hidden="1" customHeight="1" outlineLevel="1" x14ac:dyDescent="0.35">
      <c r="A364" s="9"/>
      <c r="B364" s="716" t="str">
        <f>'Company Profile'!$C$44</f>
        <v>Instruction manuals</v>
      </c>
      <c r="C364" s="717" t="str">
        <f>IF('[2]Site information'!C315="","",'[2]Site information'!C315)</f>
        <v/>
      </c>
      <c r="D364" s="191">
        <f>'Company Profile'!$D$44</f>
        <v>1500</v>
      </c>
      <c r="E364" s="217" t="s">
        <v>3</v>
      </c>
      <c r="F364" s="216"/>
      <c r="G364" s="217" t="s">
        <v>3</v>
      </c>
      <c r="H364" s="216"/>
      <c r="I364" s="217" t="s">
        <v>4</v>
      </c>
      <c r="J364" s="188"/>
      <c r="K364" s="188"/>
      <c r="L364" s="188"/>
      <c r="M364" s="188"/>
      <c r="N364" s="188"/>
      <c r="O364" s="216"/>
      <c r="P364" s="217" t="s">
        <v>4</v>
      </c>
      <c r="Q364" s="188"/>
      <c r="R364" s="188"/>
      <c r="S364" s="216"/>
      <c r="T364" s="217" t="s">
        <v>4</v>
      </c>
      <c r="U364" s="216"/>
      <c r="V364" s="171">
        <f>IF(OR($E364="No",$G364="No"),0,IF(AND($E364="Yes",$G364="Yes",$I364="Yes",$P364="Yes",$T364="Yes"),1,IF(AND($E364="Yes",$G364="Yes",COUNTIF(I364:T364,"Yes")=2),0.75,IF(AND($E364="Yes",$G364="Yes",COUNTIF(I364:T364,"Yes")=1),0.5,IF(AND($E364="Yes",$G364="Yes",COUNTIF(I364:T364,"Yes")=0),0.25,IF(OR($E364="",$G364="",$I364="",$P364="",$T364=""),"",0))))))</f>
        <v>0.25</v>
      </c>
      <c r="W364" s="670"/>
      <c r="X364" s="671"/>
    </row>
    <row r="365" spans="1:24" ht="19.95" hidden="1" customHeight="1" outlineLevel="1" x14ac:dyDescent="0.35">
      <c r="A365" s="9"/>
      <c r="B365" s="716" t="str">
        <f>'Company Profile'!$C$45</f>
        <v>Wooden pallets</v>
      </c>
      <c r="C365" s="717"/>
      <c r="D365" s="191">
        <f>'Company Profile'!$D$45</f>
        <v>500000</v>
      </c>
      <c r="E365" s="217" t="s">
        <v>3</v>
      </c>
      <c r="F365" s="216"/>
      <c r="G365" s="217" t="s">
        <v>3</v>
      </c>
      <c r="H365" s="216"/>
      <c r="I365" s="217" t="s">
        <v>3</v>
      </c>
      <c r="J365" s="188"/>
      <c r="K365" s="188"/>
      <c r="L365" s="188"/>
      <c r="M365" s="188"/>
      <c r="N365" s="188"/>
      <c r="O365" s="216"/>
      <c r="P365" s="217" t="s">
        <v>4</v>
      </c>
      <c r="Q365" s="188"/>
      <c r="R365" s="188"/>
      <c r="S365" s="216"/>
      <c r="T365" s="217" t="s">
        <v>4</v>
      </c>
      <c r="U365" s="216"/>
      <c r="V365" s="171">
        <f>IF(OR($E365="No",$G365="No"),0,IF(AND($E365="Yes",$G365="Yes",$I365="Yes",$P365="Yes",$T365="Yes"),1,IF(AND($E365="Yes",$G365="Yes",COUNTIF(I365:T365,"Yes")=2),0.75,IF(AND($E365="Yes",$G365="Yes",COUNTIF(I365:T365,"Yes")=1),0.5,IF(AND($E365="Yes",$G365="Yes",COUNTIF(I365:T365,"Yes")=0),0.25,IF(OR($E365="",$G365="",$I365="",$P365="",$T365=""),"",0))))))</f>
        <v>0.5</v>
      </c>
      <c r="W365" s="670"/>
      <c r="X365" s="671"/>
    </row>
    <row r="366" spans="1:24" ht="19.95" hidden="1" customHeight="1" outlineLevel="1" x14ac:dyDescent="0.35">
      <c r="A366" s="733"/>
      <c r="B366" s="724" t="str">
        <f>'Company Profile'!$C$46</f>
        <v xml:space="preserve">Maintenance </v>
      </c>
      <c r="C366" s="725"/>
      <c r="D366" s="189">
        <f>'Company Profile'!$D$46</f>
        <v>1000000</v>
      </c>
      <c r="E366" s="215" t="s">
        <v>3</v>
      </c>
      <c r="F366" s="214"/>
      <c r="G366" s="215" t="s">
        <v>3</v>
      </c>
      <c r="H366" s="214"/>
      <c r="I366" s="215" t="s">
        <v>4</v>
      </c>
      <c r="J366" s="203"/>
      <c r="K366" s="203"/>
      <c r="L366" s="203"/>
      <c r="M366" s="203"/>
      <c r="N366" s="203"/>
      <c r="O366" s="214"/>
      <c r="P366" s="215" t="s">
        <v>4</v>
      </c>
      <c r="Q366" s="203"/>
      <c r="R366" s="203"/>
      <c r="S366" s="214"/>
      <c r="T366" s="215" t="s">
        <v>4</v>
      </c>
      <c r="U366" s="214"/>
      <c r="V366" s="213">
        <f>IF(OR($E366="No",$G366="No"),0,IF(AND($E366="Yes",$G366="Yes",$I366="Yes",$P366="Yes",$T366="Yes"),1,IF(AND($E366="Yes",$G366="Yes",COUNTIF(I366:T366,"Yes")=2),0.75,IF(AND($E366="Yes",$G366="Yes",COUNTIF(I366:T366,"Yes")=1),0.5,IF(AND($E366="Yes",$G366="Yes",COUNTIF(I366:T366,"Yes")=0),0.25,IF(OR($E366="",$G366="",$I366="",$P366="",$T366=""),"",0))))))</f>
        <v>0.25</v>
      </c>
      <c r="W366" s="718"/>
      <c r="X366" s="719"/>
    </row>
    <row r="367" spans="1:24" s="1" customFormat="1" ht="19.95" hidden="1" customHeight="1" outlineLevel="1" x14ac:dyDescent="0.35">
      <c r="A367" s="733"/>
      <c r="B367" s="127" t="s">
        <v>148</v>
      </c>
      <c r="C367" s="126"/>
      <c r="D367" s="125">
        <f>SUM(D362:D366)</f>
        <v>6501500</v>
      </c>
      <c r="E367" s="11"/>
      <c r="F367" s="11"/>
      <c r="G367" s="11"/>
      <c r="H367" s="11"/>
      <c r="I367" s="11"/>
      <c r="J367" s="11"/>
      <c r="K367" s="11"/>
      <c r="L367" s="11"/>
      <c r="M367" s="11"/>
      <c r="N367" s="11"/>
      <c r="O367" s="11"/>
      <c r="P367" s="11"/>
      <c r="Q367" s="11"/>
      <c r="R367" s="11"/>
      <c r="V367" s="183">
        <f>SUMPRODUCT(D362:D366,V362:V366)/SUM(D362:D366)</f>
        <v>0.42303699146350843</v>
      </c>
    </row>
    <row r="368" spans="1:24" ht="15" customHeight="1" collapsed="1" x14ac:dyDescent="0.35">
      <c r="U368" s="3"/>
    </row>
    <row r="369" spans="1:22" ht="25.05" customHeight="1" x14ac:dyDescent="0.35">
      <c r="A369" s="9"/>
      <c r="B369" s="693" t="s">
        <v>373</v>
      </c>
      <c r="C369" s="694"/>
      <c r="D369" s="694"/>
      <c r="E369" s="694"/>
      <c r="F369" s="694"/>
      <c r="G369" s="694"/>
      <c r="H369" s="695"/>
      <c r="I369" s="699" t="s">
        <v>321</v>
      </c>
      <c r="J369" s="705">
        <f>$R$381</f>
        <v>0.76926093978312693</v>
      </c>
      <c r="K369" s="1"/>
      <c r="L369" s="1"/>
      <c r="M369" s="1"/>
      <c r="N369" s="1"/>
      <c r="O369" s="1"/>
      <c r="P369" s="1"/>
    </row>
    <row r="370" spans="1:22" ht="25.05" customHeight="1" x14ac:dyDescent="0.35">
      <c r="A370" s="9"/>
      <c r="B370" s="696"/>
      <c r="C370" s="697"/>
      <c r="D370" s="697"/>
      <c r="E370" s="697"/>
      <c r="F370" s="697"/>
      <c r="G370" s="697"/>
      <c r="H370" s="698"/>
      <c r="I370" s="700"/>
      <c r="J370" s="706"/>
      <c r="K370" s="1"/>
      <c r="L370" s="1"/>
      <c r="M370" s="1"/>
      <c r="N370" s="1"/>
      <c r="O370" s="1"/>
      <c r="P370" s="1"/>
    </row>
    <row r="371" spans="1:22" ht="42" hidden="1" customHeight="1" outlineLevel="1" x14ac:dyDescent="0.35">
      <c r="A371" s="9"/>
      <c r="B371" s="528" t="s">
        <v>372</v>
      </c>
      <c r="C371" s="527"/>
      <c r="D371" s="527"/>
      <c r="E371" s="527"/>
      <c r="F371" s="527"/>
      <c r="G371" s="527"/>
      <c r="H371" s="527"/>
      <c r="I371" s="527"/>
      <c r="J371" s="565"/>
      <c r="K371" s="1"/>
      <c r="L371" s="1"/>
      <c r="M371" s="1"/>
      <c r="N371" s="1"/>
      <c r="O371" s="1"/>
      <c r="P371" s="1"/>
    </row>
    <row r="372" spans="1:22" ht="25.05" hidden="1" customHeight="1" outlineLevel="1" x14ac:dyDescent="0.35">
      <c r="A372" s="10"/>
      <c r="B372" s="636" t="s">
        <v>222</v>
      </c>
      <c r="C372" s="637"/>
      <c r="D372" s="637"/>
      <c r="E372" s="637"/>
      <c r="F372" s="637"/>
      <c r="G372" s="637"/>
      <c r="H372" s="637"/>
      <c r="I372" s="637"/>
      <c r="J372" s="638"/>
      <c r="K372" s="1"/>
      <c r="L372" s="1"/>
      <c r="M372" s="1"/>
      <c r="N372" s="6"/>
      <c r="O372" s="6"/>
    </row>
    <row r="373" spans="1:22" ht="34.950000000000003" hidden="1" customHeight="1" outlineLevel="1" x14ac:dyDescent="0.35">
      <c r="A373" s="9"/>
      <c r="B373" s="728" t="s">
        <v>119</v>
      </c>
      <c r="C373" s="731"/>
      <c r="D373" s="731" t="s">
        <v>371</v>
      </c>
      <c r="E373" s="378" t="s">
        <v>370</v>
      </c>
      <c r="F373" s="362" t="s">
        <v>369</v>
      </c>
      <c r="G373" s="366" t="s">
        <v>368</v>
      </c>
      <c r="H373" s="720" t="s">
        <v>367</v>
      </c>
      <c r="I373" s="721"/>
      <c r="J373" s="720" t="s">
        <v>268</v>
      </c>
      <c r="K373" s="734"/>
      <c r="L373" s="734"/>
      <c r="M373" s="721"/>
      <c r="N373" s="362" t="s">
        <v>366</v>
      </c>
      <c r="O373" s="379" t="s">
        <v>365</v>
      </c>
      <c r="P373" s="720" t="s">
        <v>364</v>
      </c>
      <c r="Q373" s="721"/>
      <c r="R373" s="677" t="s">
        <v>363</v>
      </c>
      <c r="S373" s="662" t="s">
        <v>5</v>
      </c>
      <c r="T373" s="663"/>
    </row>
    <row r="374" spans="1:22" ht="82.05" hidden="1" customHeight="1" outlineLevel="1" x14ac:dyDescent="0.35">
      <c r="A374" s="9"/>
      <c r="B374" s="729"/>
      <c r="C374" s="732"/>
      <c r="D374" s="732"/>
      <c r="E374" s="354" t="s">
        <v>362</v>
      </c>
      <c r="F374" s="354" t="s">
        <v>361</v>
      </c>
      <c r="G374" s="354" t="s">
        <v>360</v>
      </c>
      <c r="H374" s="356" t="s">
        <v>359</v>
      </c>
      <c r="I374" s="359" t="s">
        <v>358</v>
      </c>
      <c r="J374" s="363" t="s">
        <v>357</v>
      </c>
      <c r="K374" s="345" t="s">
        <v>356</v>
      </c>
      <c r="L374" s="345" t="s">
        <v>355</v>
      </c>
      <c r="M374" s="364" t="s">
        <v>354</v>
      </c>
      <c r="N374" s="354" t="s">
        <v>353</v>
      </c>
      <c r="O374" s="360" t="s">
        <v>352</v>
      </c>
      <c r="P374" s="375" t="s">
        <v>351</v>
      </c>
      <c r="Q374" s="380" t="s">
        <v>350</v>
      </c>
      <c r="R374" s="692"/>
      <c r="S374" s="664"/>
      <c r="T374" s="665"/>
    </row>
    <row r="375" spans="1:22" ht="18.45" hidden="1" customHeight="1" outlineLevel="1" x14ac:dyDescent="0.35">
      <c r="A375" s="166"/>
      <c r="B375" s="729"/>
      <c r="C375" s="732"/>
      <c r="D375" s="732"/>
      <c r="E375" s="365"/>
      <c r="F375" s="365"/>
      <c r="G375" s="365"/>
      <c r="H375" s="712" t="s">
        <v>349</v>
      </c>
      <c r="I375" s="713"/>
      <c r="J375" s="712" t="s">
        <v>287</v>
      </c>
      <c r="K375" s="858"/>
      <c r="L375" s="858"/>
      <c r="M375" s="713"/>
      <c r="N375" s="365"/>
      <c r="O375" s="381"/>
      <c r="P375" s="712" t="s">
        <v>349</v>
      </c>
      <c r="Q375" s="713"/>
      <c r="R375" s="678"/>
      <c r="S375" s="666"/>
      <c r="T375" s="667"/>
    </row>
    <row r="376" spans="1:22" ht="19.95" hidden="1" customHeight="1" outlineLevel="1" x14ac:dyDescent="0.35">
      <c r="A376" s="9"/>
      <c r="B376" s="716" t="str">
        <f>'Company Profile'!$C$42</f>
        <v>Washing machines</v>
      </c>
      <c r="C376" s="717"/>
      <c r="D376" s="195">
        <f>'Company Profile'!$D$42</f>
        <v>3000000</v>
      </c>
      <c r="E376" s="142" t="s">
        <v>3</v>
      </c>
      <c r="F376" s="211" t="s">
        <v>3</v>
      </c>
      <c r="G376" s="194" t="s">
        <v>3</v>
      </c>
      <c r="H376" s="219" t="s">
        <v>3</v>
      </c>
      <c r="I376" s="218"/>
      <c r="J376" s="219" t="s">
        <v>3</v>
      </c>
      <c r="K376" s="194"/>
      <c r="L376" s="194"/>
      <c r="M376" s="218"/>
      <c r="N376" s="211" t="s">
        <v>3</v>
      </c>
      <c r="O376" s="209" t="s">
        <v>3</v>
      </c>
      <c r="P376" s="142" t="s">
        <v>3</v>
      </c>
      <c r="Q376" s="218"/>
      <c r="R376" s="178">
        <f>IF(COUNTIF(E376:P376,"Yes")=8,1,IF(COUNTIF(E376:P376,"Yes")=7,0.9,IF(COUNTIF(E376:P376,"Yes")=6,0.8,IF(COUNTIF(E376:P376,"Yes")=5,0.7,IF(COUNTIF(E376:P376,"Yes")=4,0.6,IF(COUNTIF(E376:P376,"Yes")=3,0.45,IF(COUNTIF(E376:P376,"Yes")=2,0.3,IF(COUNTIF(E376:P376,"Yes")=1,0.15,IF(OR($E376="",$G376="",$H376="",$I376="",$J376="",$N376="",$O376="",$P376=""),"",0)))))))))</f>
        <v>1</v>
      </c>
      <c r="S376" s="672"/>
      <c r="T376" s="673"/>
    </row>
    <row r="377" spans="1:22" ht="19.95" hidden="1" customHeight="1" outlineLevel="1" x14ac:dyDescent="0.35">
      <c r="A377" s="9"/>
      <c r="B377" s="716" t="str">
        <f>'Company Profile'!$C$43</f>
        <v>Dryers</v>
      </c>
      <c r="C377" s="717" t="str">
        <f>IF('[2]Site information'!C328="","",'[2]Site information'!C328)</f>
        <v/>
      </c>
      <c r="D377" s="191">
        <f>'Company Profile'!$D$43</f>
        <v>2000000</v>
      </c>
      <c r="E377" s="141" t="s">
        <v>3</v>
      </c>
      <c r="F377" s="208" t="s">
        <v>4</v>
      </c>
      <c r="G377" s="188" t="s">
        <v>3</v>
      </c>
      <c r="H377" s="217" t="s">
        <v>3</v>
      </c>
      <c r="I377" s="216"/>
      <c r="J377" s="217" t="s">
        <v>3</v>
      </c>
      <c r="K377" s="188"/>
      <c r="L377" s="188"/>
      <c r="M377" s="216"/>
      <c r="N377" s="208" t="s">
        <v>4</v>
      </c>
      <c r="O377" s="200" t="s">
        <v>4</v>
      </c>
      <c r="P377" s="141" t="s">
        <v>3</v>
      </c>
      <c r="Q377" s="216"/>
      <c r="R377" s="171">
        <f>IF(COUNTIF(E377:P377,"Yes")=8,1,IF(COUNTIF(E377:P377,"Yes")=7,0.9,IF(COUNTIF(E377:P377,"Yes")=6,0.8,IF(COUNTIF(E377:P377,"Yes")=5,0.7,IF(COUNTIF(E377:P377,"Yes")=4,0.6,IF(COUNTIF(E377:P377,"Yes")=3,0.45,IF(COUNTIF(E377:P377,"Yes")=2,0.3,IF(COUNTIF(E377:P377,"Yes")=1,0.15,IF(OR($E377="",$G377="",$H377="",$I377="",$J377="",$N377="",$O377="",$P377=""),"",0)))))))))</f>
        <v>0.7</v>
      </c>
      <c r="S377" s="670"/>
      <c r="T377" s="671"/>
    </row>
    <row r="378" spans="1:22" ht="19.95" hidden="1" customHeight="1" outlineLevel="1" x14ac:dyDescent="0.35">
      <c r="A378" s="9"/>
      <c r="B378" s="716" t="str">
        <f>'Company Profile'!$C$44</f>
        <v>Instruction manuals</v>
      </c>
      <c r="C378" s="717" t="str">
        <f>IF('[2]Site information'!C329="","",'[2]Site information'!C329)</f>
        <v/>
      </c>
      <c r="D378" s="191">
        <f>'Company Profile'!$D$44</f>
        <v>1500</v>
      </c>
      <c r="E378" s="141" t="s">
        <v>3</v>
      </c>
      <c r="F378" s="208" t="s">
        <v>3</v>
      </c>
      <c r="G378" s="188" t="s">
        <v>4</v>
      </c>
      <c r="H378" s="217" t="s">
        <v>3</v>
      </c>
      <c r="I378" s="216"/>
      <c r="J378" s="217" t="s">
        <v>3</v>
      </c>
      <c r="K378" s="188"/>
      <c r="L378" s="188"/>
      <c r="M378" s="216"/>
      <c r="N378" s="208" t="s">
        <v>3</v>
      </c>
      <c r="O378" s="200" t="s">
        <v>3</v>
      </c>
      <c r="P378" s="141" t="s">
        <v>3</v>
      </c>
      <c r="Q378" s="216"/>
      <c r="R378" s="171">
        <f>IF(COUNTIF(E378:P378,"Yes")=8,1,IF(COUNTIF(E378:P378,"Yes")=7,0.9,IF(COUNTIF(E378:P378,"Yes")=6,0.8,IF(COUNTIF(E378:P378,"Yes")=5,0.7,IF(COUNTIF(E378:P378,"Yes")=4,0.6,IF(COUNTIF(E378:P378,"Yes")=3,0.45,IF(COUNTIF(E378:P378,"Yes")=2,0.3,IF(COUNTIF(E378:P378,"Yes")=1,0.15,IF(OR($E378="",$G378="",$H378="",$I378="",$J378="",$N378="",$O378="",$P378=""),"",0)))))))))</f>
        <v>0.9</v>
      </c>
      <c r="S378" s="670"/>
      <c r="T378" s="671"/>
    </row>
    <row r="379" spans="1:22" ht="19.95" hidden="1" customHeight="1" outlineLevel="1" x14ac:dyDescent="0.35">
      <c r="A379" s="9"/>
      <c r="B379" s="716" t="str">
        <f>'Company Profile'!$C$45</f>
        <v>Wooden pallets</v>
      </c>
      <c r="C379" s="717"/>
      <c r="D379" s="191">
        <f>'Company Profile'!$D$45</f>
        <v>500000</v>
      </c>
      <c r="E379" s="141" t="s">
        <v>3</v>
      </c>
      <c r="F379" s="208" t="s">
        <v>3</v>
      </c>
      <c r="G379" s="188" t="s">
        <v>3</v>
      </c>
      <c r="H379" s="217" t="s">
        <v>3</v>
      </c>
      <c r="I379" s="216"/>
      <c r="J379" s="217" t="s">
        <v>4</v>
      </c>
      <c r="K379" s="188"/>
      <c r="L379" s="188"/>
      <c r="M379" s="216"/>
      <c r="N379" s="208" t="s">
        <v>4</v>
      </c>
      <c r="O379" s="200" t="s">
        <v>4</v>
      </c>
      <c r="P379" s="141" t="s">
        <v>4</v>
      </c>
      <c r="Q379" s="216"/>
      <c r="R379" s="171">
        <f>IF(COUNTIF(E379:P379,"Yes")=8,1,IF(COUNTIF(E379:P379,"Yes")=7,0.9,IF(COUNTIF(E379:P379,"Yes")=6,0.8,IF(COUNTIF(E379:P379,"Yes")=5,0.7,IF(COUNTIF(E379:P379,"Yes")=4,0.6,IF(COUNTIF(E379:P379,"Yes")=3,0.45,IF(COUNTIF(E379:P379,"Yes")=2,0.3,IF(COUNTIF(E379:P379,"Yes")=1,0.15,IF(OR($E379="",$G379="",$H379="",$I379="",$J379="",$N379="",$O379="",$P379=""),"",0)))))))))</f>
        <v>0.6</v>
      </c>
      <c r="S379" s="670"/>
      <c r="T379" s="671"/>
    </row>
    <row r="380" spans="1:22" ht="19.95" hidden="1" customHeight="1" outlineLevel="1" x14ac:dyDescent="0.35">
      <c r="A380" s="733"/>
      <c r="B380" s="724" t="str">
        <f>'Company Profile'!$C$46</f>
        <v xml:space="preserve">Maintenance </v>
      </c>
      <c r="C380" s="725"/>
      <c r="D380" s="189">
        <f>'Company Profile'!$D$46</f>
        <v>1000000</v>
      </c>
      <c r="E380" s="138" t="s">
        <v>3</v>
      </c>
      <c r="F380" s="204" t="s">
        <v>4</v>
      </c>
      <c r="G380" s="203" t="s">
        <v>4</v>
      </c>
      <c r="H380" s="215" t="s">
        <v>4</v>
      </c>
      <c r="I380" s="214"/>
      <c r="J380" s="215" t="s">
        <v>4</v>
      </c>
      <c r="K380" s="203"/>
      <c r="L380" s="203"/>
      <c r="M380" s="214"/>
      <c r="N380" s="204" t="s">
        <v>3</v>
      </c>
      <c r="O380" s="202" t="s">
        <v>4</v>
      </c>
      <c r="P380" s="138" t="s">
        <v>4</v>
      </c>
      <c r="Q380" s="214"/>
      <c r="R380" s="213">
        <f>IF(COUNTIF(E380:P380,"Yes")=8,1,IF(COUNTIF(E380:P380,"Yes")=7,0.9,IF(COUNTIF(E380:P380,"Yes")=6,0.8,IF(COUNTIF(E380:P380,"Yes")=5,0.7,IF(COUNTIF(E380:P380,"Yes")=4,0.6,IF(COUNTIF(E380:P380,"Yes")=3,0.45,IF(COUNTIF(E380:P380,"Yes")=2,0.3,IF(COUNTIF(E380:P380,"Yes")=1,0.15,IF(OR($E380="",$G380="",$H380="",$I380="",$J380="",$N380="",$O380="",$P380=""),"",0)))))))))</f>
        <v>0.3</v>
      </c>
      <c r="S380" s="718"/>
      <c r="T380" s="719"/>
    </row>
    <row r="381" spans="1:22" s="1" customFormat="1" ht="19.95" hidden="1" customHeight="1" outlineLevel="1" x14ac:dyDescent="0.35">
      <c r="A381" s="733"/>
      <c r="B381" s="127" t="s">
        <v>148</v>
      </c>
      <c r="C381" s="126"/>
      <c r="D381" s="125">
        <f>SUM(D376:D380)</f>
        <v>6501500</v>
      </c>
      <c r="E381" s="11"/>
      <c r="F381" s="11"/>
      <c r="G381" s="11"/>
      <c r="H381" s="11"/>
      <c r="I381" s="11"/>
      <c r="J381" s="11"/>
      <c r="K381" s="11"/>
      <c r="L381" s="11"/>
      <c r="M381" s="11"/>
      <c r="N381" s="11"/>
      <c r="O381" s="11"/>
      <c r="P381" s="11"/>
      <c r="Q381" s="11"/>
      <c r="R381" s="212">
        <f>SUMPRODUCT(D376:D380,R376:R380)/SUM(D376:D380)</f>
        <v>0.76926093978312693</v>
      </c>
      <c r="V381" s="4"/>
    </row>
    <row r="382" spans="1:22" ht="15" customHeight="1" collapsed="1" x14ac:dyDescent="0.35">
      <c r="E382" s="11"/>
      <c r="F382" s="11"/>
      <c r="G382" s="11"/>
      <c r="H382" s="11"/>
      <c r="I382" s="11"/>
      <c r="J382" s="11"/>
      <c r="K382" s="11"/>
      <c r="L382" s="11"/>
      <c r="M382" s="11"/>
      <c r="N382" s="11"/>
      <c r="O382" s="11"/>
      <c r="P382" s="11"/>
      <c r="Q382" s="11"/>
      <c r="R382" s="11"/>
      <c r="S382" s="11"/>
      <c r="T382" s="11"/>
      <c r="U382" s="3"/>
    </row>
    <row r="383" spans="1:22" ht="21.45" customHeight="1" x14ac:dyDescent="0.35">
      <c r="A383" s="9"/>
      <c r="B383" s="693" t="s">
        <v>348</v>
      </c>
      <c r="C383" s="694"/>
      <c r="D383" s="694"/>
      <c r="E383" s="694"/>
      <c r="F383" s="902" t="s">
        <v>347</v>
      </c>
      <c r="G383" s="903"/>
      <c r="H383" s="182">
        <f>S395</f>
        <v>7.6905329539337069E-2</v>
      </c>
      <c r="I383" s="699" t="s">
        <v>247</v>
      </c>
      <c r="J383" s="705">
        <f>(H383+H384)/2</f>
        <v>0.3460739829270168</v>
      </c>
      <c r="K383" s="1"/>
      <c r="L383" s="1"/>
      <c r="M383" s="1"/>
      <c r="N383" s="1"/>
      <c r="O383" s="1"/>
      <c r="P383" s="1"/>
    </row>
    <row r="384" spans="1:22" ht="20.55" customHeight="1" x14ac:dyDescent="0.35">
      <c r="A384" s="9"/>
      <c r="B384" s="696"/>
      <c r="C384" s="697"/>
      <c r="D384" s="697"/>
      <c r="E384" s="697"/>
      <c r="F384" s="904" t="s">
        <v>346</v>
      </c>
      <c r="G384" s="905"/>
      <c r="H384" s="182">
        <f>T395</f>
        <v>0.61524263631469656</v>
      </c>
      <c r="I384" s="861"/>
      <c r="J384" s="706"/>
      <c r="K384" s="1"/>
      <c r="L384" s="1"/>
      <c r="M384" s="1"/>
      <c r="N384" s="1"/>
      <c r="O384" s="1"/>
      <c r="P384" s="1"/>
    </row>
    <row r="385" spans="1:22" ht="147" hidden="1" customHeight="1" outlineLevel="1" x14ac:dyDescent="0.35">
      <c r="A385" s="9"/>
      <c r="B385" s="528" t="s">
        <v>345</v>
      </c>
      <c r="C385" s="527"/>
      <c r="D385" s="527"/>
      <c r="E385" s="527"/>
      <c r="F385" s="527"/>
      <c r="G385" s="527"/>
      <c r="H385" s="527"/>
      <c r="I385" s="527"/>
      <c r="J385" s="565"/>
      <c r="K385" s="1"/>
      <c r="L385" s="1"/>
      <c r="M385" s="1"/>
      <c r="N385" s="1"/>
      <c r="O385" s="1"/>
      <c r="P385" s="1"/>
    </row>
    <row r="386" spans="1:22" ht="25.05" hidden="1" customHeight="1" outlineLevel="1" x14ac:dyDescent="0.35">
      <c r="A386" s="10"/>
      <c r="B386" s="636" t="s">
        <v>222</v>
      </c>
      <c r="C386" s="637"/>
      <c r="D386" s="637"/>
      <c r="E386" s="637"/>
      <c r="F386" s="637"/>
      <c r="G386" s="637"/>
      <c r="H386" s="637"/>
      <c r="I386" s="637"/>
      <c r="J386" s="638"/>
      <c r="K386" s="1"/>
      <c r="L386" s="1"/>
      <c r="M386" s="1"/>
      <c r="N386" s="6"/>
      <c r="O386" s="6"/>
    </row>
    <row r="387" spans="1:22" ht="22.95" hidden="1" customHeight="1" outlineLevel="1" x14ac:dyDescent="0.35">
      <c r="A387" s="9"/>
      <c r="B387" s="728" t="s">
        <v>118</v>
      </c>
      <c r="C387" s="731"/>
      <c r="D387" s="731" t="s">
        <v>119</v>
      </c>
      <c r="E387" s="731"/>
      <c r="F387" s="812" t="s">
        <v>344</v>
      </c>
      <c r="G387" s="668" t="s">
        <v>343</v>
      </c>
      <c r="H387" s="763"/>
      <c r="I387" s="763"/>
      <c r="J387" s="763"/>
      <c r="K387" s="763"/>
      <c r="L387" s="763"/>
      <c r="M387" s="763"/>
      <c r="N387" s="763"/>
      <c r="O387" s="669"/>
      <c r="P387" s="668" t="s">
        <v>342</v>
      </c>
      <c r="Q387" s="763"/>
      <c r="R387" s="669"/>
      <c r="S387" s="677" t="s">
        <v>341</v>
      </c>
      <c r="T387" s="677" t="s">
        <v>340</v>
      </c>
      <c r="U387" s="662" t="s">
        <v>5</v>
      </c>
      <c r="V387" s="745"/>
    </row>
    <row r="388" spans="1:22" ht="52.5" hidden="1" customHeight="1" outlineLevel="1" x14ac:dyDescent="0.35">
      <c r="A388" s="9"/>
      <c r="B388" s="729"/>
      <c r="C388" s="732"/>
      <c r="D388" s="732"/>
      <c r="E388" s="732"/>
      <c r="F388" s="813"/>
      <c r="G388" s="382" t="s">
        <v>339</v>
      </c>
      <c r="H388" s="382" t="s">
        <v>338</v>
      </c>
      <c r="I388" s="383" t="s">
        <v>337</v>
      </c>
      <c r="J388" s="859" t="s">
        <v>336</v>
      </c>
      <c r="K388" s="860"/>
      <c r="L388" s="859" t="s">
        <v>335</v>
      </c>
      <c r="M388" s="860"/>
      <c r="N388" s="859" t="s">
        <v>334</v>
      </c>
      <c r="O388" s="860"/>
      <c r="P388" s="683" t="s">
        <v>333</v>
      </c>
      <c r="Q388" s="684" t="s">
        <v>332</v>
      </c>
      <c r="R388" s="632" t="s">
        <v>331</v>
      </c>
      <c r="S388" s="692"/>
      <c r="T388" s="692"/>
      <c r="U388" s="664"/>
      <c r="V388" s="856"/>
    </row>
    <row r="389" spans="1:22" ht="17.55" hidden="1" customHeight="1" outlineLevel="1" x14ac:dyDescent="0.35">
      <c r="A389" s="9"/>
      <c r="B389" s="729"/>
      <c r="C389" s="732"/>
      <c r="D389" s="732"/>
      <c r="E389" s="732"/>
      <c r="F389" s="813"/>
      <c r="G389" s="384" t="s">
        <v>330</v>
      </c>
      <c r="H389" s="384" t="s">
        <v>330</v>
      </c>
      <c r="I389" s="385" t="s">
        <v>330</v>
      </c>
      <c r="J389" s="386" t="s">
        <v>330</v>
      </c>
      <c r="K389" s="387" t="s">
        <v>329</v>
      </c>
      <c r="L389" s="386" t="s">
        <v>330</v>
      </c>
      <c r="M389" s="387" t="s">
        <v>329</v>
      </c>
      <c r="N389" s="386" t="s">
        <v>330</v>
      </c>
      <c r="O389" s="387" t="s">
        <v>329</v>
      </c>
      <c r="P389" s="867"/>
      <c r="Q389" s="711"/>
      <c r="R389" s="769"/>
      <c r="S389" s="678"/>
      <c r="T389" s="678"/>
      <c r="U389" s="666"/>
      <c r="V389" s="746"/>
    </row>
    <row r="390" spans="1:22" ht="19.95" hidden="1" customHeight="1" outlineLevel="1" x14ac:dyDescent="0.35">
      <c r="A390" s="9"/>
      <c r="B390" s="730" t="str">
        <f>'Company Profile'!$B$42</f>
        <v>Sold or leased goods</v>
      </c>
      <c r="C390" s="717"/>
      <c r="D390" s="716" t="str">
        <f>'Company Profile'!$C$42</f>
        <v>Washing machines</v>
      </c>
      <c r="E390" s="717"/>
      <c r="F390" s="195">
        <f>'Company Profile'!$D$42</f>
        <v>3000000</v>
      </c>
      <c r="G390" s="211" t="s">
        <v>4</v>
      </c>
      <c r="H390" s="211" t="s">
        <v>4</v>
      </c>
      <c r="I390" s="194" t="s">
        <v>4</v>
      </c>
      <c r="J390" s="210" t="s">
        <v>3</v>
      </c>
      <c r="K390" s="180" t="s">
        <v>4</v>
      </c>
      <c r="L390" s="209" t="s">
        <v>4</v>
      </c>
      <c r="M390" s="142" t="s">
        <v>4</v>
      </c>
      <c r="N390" s="210" t="s">
        <v>4</v>
      </c>
      <c r="O390" s="180" t="s">
        <v>4</v>
      </c>
      <c r="P390" s="209" t="s">
        <v>4</v>
      </c>
      <c r="Q390" s="136" t="s">
        <v>3</v>
      </c>
      <c r="R390" s="180" t="s">
        <v>3</v>
      </c>
      <c r="S390" s="206">
        <f>IF(AND(B390&lt;&gt;"Service",G390="No",H390="No",I390="No",J390="No",L390="No",N390="No"),1,IF(AND(B390="Service",P390="No",Q390="No",R390="No"),1,0))</f>
        <v>0</v>
      </c>
      <c r="T390" s="205">
        <f>IF(AND(B390&lt;&gt;"Service",K390="No",M390="No",O390="No"),1,IF($B390="Service",1,0))</f>
        <v>1</v>
      </c>
      <c r="U390" s="672"/>
      <c r="V390" s="673"/>
    </row>
    <row r="391" spans="1:22" ht="19.95" hidden="1" customHeight="1" outlineLevel="1" x14ac:dyDescent="0.35">
      <c r="A391" s="9"/>
      <c r="B391" s="730" t="str">
        <f>'Company Profile'!$B$43</f>
        <v>Sold or leased goods</v>
      </c>
      <c r="C391" s="717"/>
      <c r="D391" s="716" t="str">
        <f>'Company Profile'!$C$43</f>
        <v>Dryers</v>
      </c>
      <c r="E391" s="717" t="str">
        <f>IF('[2]Site information'!E342="","",'[2]Site information'!E342)</f>
        <v/>
      </c>
      <c r="F391" s="191">
        <f>'Company Profile'!$D$43</f>
        <v>2000000</v>
      </c>
      <c r="G391" s="208" t="s">
        <v>4</v>
      </c>
      <c r="H391" s="208" t="s">
        <v>4</v>
      </c>
      <c r="I391" s="188" t="s">
        <v>4</v>
      </c>
      <c r="J391" s="207" t="s">
        <v>4</v>
      </c>
      <c r="K391" s="173" t="s">
        <v>3</v>
      </c>
      <c r="L391" s="200" t="s">
        <v>4</v>
      </c>
      <c r="M391" s="141" t="s">
        <v>3</v>
      </c>
      <c r="N391" s="207" t="s">
        <v>3</v>
      </c>
      <c r="O391" s="173" t="s">
        <v>4</v>
      </c>
      <c r="P391" s="200" t="s">
        <v>4</v>
      </c>
      <c r="Q391" s="134" t="s">
        <v>3</v>
      </c>
      <c r="R391" s="173" t="s">
        <v>3</v>
      </c>
      <c r="S391" s="206">
        <f>IF(AND(B391&lt;&gt;"Service",G391="No",H391="No",I391="No",J391="No",L391="No",N391="No"),1,IF(AND(B391="Service",P391="No",Q391="No",R391="No"),1,0))</f>
        <v>0</v>
      </c>
      <c r="T391" s="205">
        <f>IF(AND(B391&lt;&gt;"Service",K391="No",M391="No",O391="No"),1,IF($B391="Service",1,0))</f>
        <v>0</v>
      </c>
      <c r="U391" s="670"/>
      <c r="V391" s="671"/>
    </row>
    <row r="392" spans="1:22" ht="19.95" hidden="1" customHeight="1" outlineLevel="1" x14ac:dyDescent="0.35">
      <c r="A392" s="9"/>
      <c r="B392" s="730" t="str">
        <f>'Company Profile'!$B$44</f>
        <v>Supplementary materials delivered to customers</v>
      </c>
      <c r="C392" s="717"/>
      <c r="D392" s="716" t="str">
        <f>'Company Profile'!$C$44</f>
        <v>Instruction manuals</v>
      </c>
      <c r="E392" s="717" t="str">
        <f>IF('[2]Site information'!E343="","",'[2]Site information'!E343)</f>
        <v/>
      </c>
      <c r="F392" s="191">
        <f>'Company Profile'!$D$44</f>
        <v>1500</v>
      </c>
      <c r="G392" s="208" t="s">
        <v>4</v>
      </c>
      <c r="H392" s="208" t="s">
        <v>4</v>
      </c>
      <c r="I392" s="188" t="s">
        <v>3</v>
      </c>
      <c r="J392" s="207" t="s">
        <v>4</v>
      </c>
      <c r="K392" s="173" t="s">
        <v>4</v>
      </c>
      <c r="L392" s="200" t="s">
        <v>4</v>
      </c>
      <c r="M392" s="141" t="s">
        <v>3</v>
      </c>
      <c r="N392" s="207" t="s">
        <v>4</v>
      </c>
      <c r="O392" s="173" t="s">
        <v>4</v>
      </c>
      <c r="P392" s="200" t="s">
        <v>4</v>
      </c>
      <c r="Q392" s="134" t="s">
        <v>3</v>
      </c>
      <c r="R392" s="173" t="s">
        <v>3</v>
      </c>
      <c r="S392" s="206">
        <f>IF(AND(B392&lt;&gt;"Service",G392="No",H392="No",I392="No",J392="No",L392="No",N392="No"),1,IF(AND(B392="Service",P392="No",Q392="No",R392="No"),1,0))</f>
        <v>0</v>
      </c>
      <c r="T392" s="205">
        <f>IF(AND(B392&lt;&gt;"Service",K392="No",M392="No",O392="No"),1,IF($B392="Service",1,0))</f>
        <v>0</v>
      </c>
      <c r="U392" s="670"/>
      <c r="V392" s="671"/>
    </row>
    <row r="393" spans="1:22" ht="19.95" hidden="1" customHeight="1" outlineLevel="1" x14ac:dyDescent="0.35">
      <c r="A393" s="9"/>
      <c r="B393" s="730" t="str">
        <f>'Company Profile'!$B$45</f>
        <v>Materials used to deliver products</v>
      </c>
      <c r="C393" s="717"/>
      <c r="D393" s="716" t="str">
        <f>'Company Profile'!$C$45</f>
        <v>Wooden pallets</v>
      </c>
      <c r="E393" s="717"/>
      <c r="F393" s="191">
        <f>'Company Profile'!$D$45</f>
        <v>500000</v>
      </c>
      <c r="G393" s="208" t="s">
        <v>4</v>
      </c>
      <c r="H393" s="208" t="s">
        <v>4</v>
      </c>
      <c r="I393" s="188" t="s">
        <v>4</v>
      </c>
      <c r="J393" s="207" t="s">
        <v>4</v>
      </c>
      <c r="K393" s="173" t="s">
        <v>4</v>
      </c>
      <c r="L393" s="200" t="s">
        <v>4</v>
      </c>
      <c r="M393" s="141" t="s">
        <v>3</v>
      </c>
      <c r="N393" s="207" t="s">
        <v>4</v>
      </c>
      <c r="O393" s="173" t="s">
        <v>4</v>
      </c>
      <c r="P393" s="200" t="s">
        <v>4</v>
      </c>
      <c r="Q393" s="134" t="s">
        <v>3</v>
      </c>
      <c r="R393" s="173" t="s">
        <v>3</v>
      </c>
      <c r="S393" s="206">
        <f>IF(AND(B393&lt;&gt;"Service",G393="No",H393="No",I393="No",J393="No",L393="No",N393="No"),1,IF(AND(B393="Service",P393="No",Q393="No",R393="No"),1,0))</f>
        <v>1</v>
      </c>
      <c r="T393" s="205">
        <f>IF(AND(B393&lt;&gt;"Service",K393="No",M393="No",O393="No"),1,IF($B393="Service",1,0))</f>
        <v>0</v>
      </c>
      <c r="U393" s="670"/>
      <c r="V393" s="671"/>
    </row>
    <row r="394" spans="1:22" ht="19.95" hidden="1" customHeight="1" outlineLevel="1" x14ac:dyDescent="0.35">
      <c r="A394" s="733"/>
      <c r="B394" s="686" t="str">
        <f>'Company Profile'!$B$46</f>
        <v>Service</v>
      </c>
      <c r="C394" s="687"/>
      <c r="D394" s="724" t="str">
        <f>'Company Profile'!$C$46</f>
        <v xml:space="preserve">Maintenance </v>
      </c>
      <c r="E394" s="725"/>
      <c r="F394" s="189">
        <f>'Company Profile'!$D$46</f>
        <v>1000000</v>
      </c>
      <c r="G394" s="204" t="s">
        <v>4</v>
      </c>
      <c r="H394" s="204" t="s">
        <v>4</v>
      </c>
      <c r="I394" s="203" t="s">
        <v>4</v>
      </c>
      <c r="J394" s="201" t="s">
        <v>4</v>
      </c>
      <c r="K394" s="175" t="s">
        <v>4</v>
      </c>
      <c r="L394" s="202" t="s">
        <v>4</v>
      </c>
      <c r="M394" s="138" t="s">
        <v>3</v>
      </c>
      <c r="N394" s="201" t="s">
        <v>4</v>
      </c>
      <c r="O394" s="175" t="s">
        <v>4</v>
      </c>
      <c r="P394" s="200" t="s">
        <v>4</v>
      </c>
      <c r="Q394" s="130" t="s">
        <v>3</v>
      </c>
      <c r="R394" s="175" t="s">
        <v>3</v>
      </c>
      <c r="S394" s="199">
        <f>IF(AND(B394&lt;&gt;"Service",G394="No",H394="No",I394="No",J394="No",L394="No",N394="No"),1,IF(AND(B394="Service",P394="No",Q394="No",R394="No"),1,0))</f>
        <v>0</v>
      </c>
      <c r="T394" s="198">
        <f>IF(AND(B394&lt;&gt;"Service",K394="No",M394="No",O394="No"),1,IF($B394="Service",1,0))</f>
        <v>1</v>
      </c>
      <c r="U394" s="718"/>
      <c r="V394" s="719"/>
    </row>
    <row r="395" spans="1:22" s="1" customFormat="1" ht="19.95" hidden="1" customHeight="1" outlineLevel="1" x14ac:dyDescent="0.35">
      <c r="A395" s="733"/>
      <c r="B395" s="127" t="s">
        <v>148</v>
      </c>
      <c r="C395" s="126"/>
      <c r="D395" s="4"/>
      <c r="F395" s="197">
        <f>SUMIFS(F390:F394,B390:B394,"Sold or leased goods")+ SUMIFS(F390:F394,B390:B394,"Service")</f>
        <v>6000000</v>
      </c>
      <c r="G395" s="726"/>
      <c r="H395" s="727"/>
      <c r="I395" s="727"/>
      <c r="J395" s="727"/>
      <c r="K395" s="4"/>
      <c r="L395" s="4"/>
      <c r="M395" s="4"/>
      <c r="N395" s="4"/>
      <c r="O395" s="4"/>
      <c r="P395" s="4"/>
      <c r="Q395" s="4"/>
      <c r="R395" s="4"/>
      <c r="S395" s="196">
        <f>SUMPRODUCT(F390:F394,S390:S394)/SUM(F390:F394)</f>
        <v>7.6905329539337069E-2</v>
      </c>
      <c r="T395" s="196">
        <f>SUMPRODUCT(F390:F394,T390:T394)/SUM(F390:F394)</f>
        <v>0.61524263631469656</v>
      </c>
      <c r="U395" s="4"/>
    </row>
    <row r="396" spans="1:22" ht="168.45" hidden="1" customHeight="1" outlineLevel="1" x14ac:dyDescent="0.35">
      <c r="A396" s="9"/>
      <c r="B396" s="528" t="s">
        <v>320</v>
      </c>
      <c r="C396" s="527"/>
      <c r="D396" s="527"/>
      <c r="E396" s="527"/>
      <c r="F396" s="527"/>
      <c r="G396" s="527"/>
      <c r="H396" s="527"/>
      <c r="I396" s="527"/>
      <c r="J396" s="565"/>
      <c r="K396" s="1"/>
      <c r="L396" s="1"/>
      <c r="M396" s="1"/>
      <c r="N396" s="1"/>
      <c r="O396" s="1"/>
      <c r="P396" s="1"/>
    </row>
    <row r="397" spans="1:22" ht="25.05" hidden="1" customHeight="1" outlineLevel="1" x14ac:dyDescent="0.35">
      <c r="A397" s="10"/>
      <c r="B397" s="636" t="s">
        <v>222</v>
      </c>
      <c r="C397" s="637"/>
      <c r="D397" s="637"/>
      <c r="E397" s="637"/>
      <c r="F397" s="637"/>
      <c r="G397" s="637"/>
      <c r="H397" s="637"/>
      <c r="I397" s="637"/>
      <c r="J397" s="638"/>
      <c r="K397" s="1"/>
      <c r="L397" s="1"/>
      <c r="M397" s="1"/>
      <c r="N397" s="6"/>
      <c r="O397" s="6"/>
    </row>
    <row r="398" spans="1:22" ht="22.95" hidden="1" customHeight="1" outlineLevel="1" x14ac:dyDescent="0.35">
      <c r="A398" s="9"/>
      <c r="B398" s="728" t="s">
        <v>118</v>
      </c>
      <c r="C398" s="731" t="s">
        <v>119</v>
      </c>
      <c r="D398" s="731"/>
      <c r="E398" s="731" t="s">
        <v>319</v>
      </c>
      <c r="F398" s="722" t="s">
        <v>318</v>
      </c>
      <c r="G398" s="668" t="s">
        <v>317</v>
      </c>
      <c r="H398" s="669"/>
      <c r="I398" s="668" t="s">
        <v>316</v>
      </c>
      <c r="J398" s="669"/>
      <c r="K398" s="668" t="s">
        <v>315</v>
      </c>
      <c r="L398" s="669"/>
      <c r="M398" s="668" t="s">
        <v>314</v>
      </c>
      <c r="N398" s="669"/>
      <c r="O398" s="668" t="s">
        <v>313</v>
      </c>
      <c r="P398" s="669"/>
      <c r="Q398" s="677" t="s">
        <v>312</v>
      </c>
      <c r="R398" s="662" t="s">
        <v>5</v>
      </c>
      <c r="S398" s="663"/>
    </row>
    <row r="399" spans="1:22" ht="33.450000000000003" hidden="1" customHeight="1" outlineLevel="1" x14ac:dyDescent="0.35">
      <c r="A399" s="9"/>
      <c r="B399" s="729"/>
      <c r="C399" s="732"/>
      <c r="D399" s="732"/>
      <c r="E399" s="732"/>
      <c r="F399" s="723"/>
      <c r="G399" s="356" t="s">
        <v>311</v>
      </c>
      <c r="H399" s="357" t="s">
        <v>310</v>
      </c>
      <c r="I399" s="351" t="s">
        <v>311</v>
      </c>
      <c r="J399" s="357" t="s">
        <v>310</v>
      </c>
      <c r="K399" s="358" t="s">
        <v>311</v>
      </c>
      <c r="L399" s="350" t="s">
        <v>310</v>
      </c>
      <c r="M399" s="351" t="s">
        <v>311</v>
      </c>
      <c r="N399" s="359" t="s">
        <v>310</v>
      </c>
      <c r="O399" s="360" t="s">
        <v>311</v>
      </c>
      <c r="P399" s="361" t="s">
        <v>310</v>
      </c>
      <c r="Q399" s="678"/>
      <c r="R399" s="666"/>
      <c r="S399" s="667"/>
    </row>
    <row r="400" spans="1:22" ht="19.95" hidden="1" customHeight="1" outlineLevel="1" x14ac:dyDescent="0.35">
      <c r="A400" s="9"/>
      <c r="B400" s="177" t="str">
        <f>'Company Profile'!$B$42</f>
        <v>Sold or leased goods</v>
      </c>
      <c r="C400" s="716" t="str">
        <f>'Company Profile'!$C$42</f>
        <v>Washing machines</v>
      </c>
      <c r="D400" s="717"/>
      <c r="E400" s="195">
        <f>'Company Profile'!$D$42</f>
        <v>3000000</v>
      </c>
      <c r="F400" s="173">
        <v>5</v>
      </c>
      <c r="G400" s="181">
        <v>0.8</v>
      </c>
      <c r="H400" s="180">
        <v>100</v>
      </c>
      <c r="I400" s="181">
        <v>0.9</v>
      </c>
      <c r="J400" s="180">
        <v>100</v>
      </c>
      <c r="K400" s="179">
        <v>0.9</v>
      </c>
      <c r="L400" s="142">
        <v>100</v>
      </c>
      <c r="M400" s="181">
        <v>0.5</v>
      </c>
      <c r="N400" s="180">
        <v>100</v>
      </c>
      <c r="O400" s="179">
        <v>0.5</v>
      </c>
      <c r="P400" s="142">
        <v>2</v>
      </c>
      <c r="Q400" s="178">
        <f>IF(SUM(H400+J400+L400+N400+P400)=0,"",(PRODUCT(G400,H400)+PRODUCT(I400,J400)+PRODUCT(K400,L400)+PRODUCT(M400,N400)+PRODUCT(O400,P400))/SUM(H400+J400+L400+N400+P400))</f>
        <v>0.77363184079601988</v>
      </c>
      <c r="R400" s="672"/>
      <c r="S400" s="673"/>
    </row>
    <row r="401" spans="1:28" ht="19.95" hidden="1" customHeight="1" outlineLevel="1" x14ac:dyDescent="0.35">
      <c r="A401" s="9"/>
      <c r="B401" s="177" t="str">
        <f>'Company Profile'!$B$43</f>
        <v>Sold or leased goods</v>
      </c>
      <c r="C401" s="716" t="str">
        <f>'Company Profile'!$C$43</f>
        <v>Dryers</v>
      </c>
      <c r="D401" s="717" t="str">
        <f>IF('[2]Site information'!D352="","",'[2]Site information'!D352)</f>
        <v/>
      </c>
      <c r="E401" s="191">
        <f>'Company Profile'!$D$43</f>
        <v>2000000</v>
      </c>
      <c r="F401" s="173">
        <v>4</v>
      </c>
      <c r="G401" s="174">
        <v>0.9</v>
      </c>
      <c r="H401" s="173">
        <v>90</v>
      </c>
      <c r="I401" s="174">
        <v>0.3</v>
      </c>
      <c r="J401" s="173">
        <v>5</v>
      </c>
      <c r="K401" s="172">
        <v>0.3</v>
      </c>
      <c r="L401" s="141">
        <v>50</v>
      </c>
      <c r="M401" s="174">
        <v>0.5</v>
      </c>
      <c r="N401" s="173">
        <v>50</v>
      </c>
      <c r="O401" s="172">
        <v>0.5</v>
      </c>
      <c r="P401" s="141">
        <v>2</v>
      </c>
      <c r="Q401" s="171">
        <f>IF(SUM(H401+J401+L401+N401+P401)=0,"",(PRODUCT(G401,H401)+PRODUCT(I401,J401)+PRODUCT(K401,L401)+PRODUCT(M401,N401)+PRODUCT(O401,P401))/SUM(H401+J401+L401+N401+P401))</f>
        <v>0.62690355329949243</v>
      </c>
      <c r="R401" s="672"/>
      <c r="S401" s="673"/>
    </row>
    <row r="402" spans="1:28" ht="19.95" hidden="1" customHeight="1" outlineLevel="1" x14ac:dyDescent="0.35">
      <c r="A402" s="9"/>
      <c r="B402" s="177" t="str">
        <f>'Company Profile'!$B$44</f>
        <v>Supplementary materials delivered to customers</v>
      </c>
      <c r="C402" s="716" t="str">
        <f>'Company Profile'!$C$44</f>
        <v>Instruction manuals</v>
      </c>
      <c r="D402" s="717" t="str">
        <f>IF('[2]Site information'!D353="","",'[2]Site information'!D353)</f>
        <v/>
      </c>
      <c r="E402" s="191">
        <f>'Company Profile'!$D$44</f>
        <v>1500</v>
      </c>
      <c r="F402" s="173">
        <v>3</v>
      </c>
      <c r="G402" s="174">
        <v>1</v>
      </c>
      <c r="H402" s="173">
        <v>100</v>
      </c>
      <c r="I402" s="174">
        <v>1</v>
      </c>
      <c r="J402" s="173">
        <v>100</v>
      </c>
      <c r="K402" s="172">
        <v>0.5</v>
      </c>
      <c r="L402" s="141">
        <v>2</v>
      </c>
      <c r="M402" s="174">
        <v>0.5</v>
      </c>
      <c r="N402" s="173">
        <v>2</v>
      </c>
      <c r="O402" s="172">
        <v>0.5</v>
      </c>
      <c r="P402" s="141">
        <v>2</v>
      </c>
      <c r="Q402" s="171">
        <f>IF(SUM(H402+J402+L402+N402+P402)=0,"",(PRODUCT(G402,H402)+PRODUCT(I402,J402)+PRODUCT(K402,L402)+PRODUCT(M402,N402)+PRODUCT(O402,P402))/SUM(H402+J402+L402+N402+P402))</f>
        <v>0.9854368932038835</v>
      </c>
      <c r="R402" s="672"/>
      <c r="S402" s="673"/>
    </row>
    <row r="403" spans="1:28" ht="19.95" hidden="1" customHeight="1" outlineLevel="1" x14ac:dyDescent="0.35">
      <c r="A403" s="9"/>
      <c r="B403" s="177" t="str">
        <f>'Company Profile'!$B$45</f>
        <v>Materials used to deliver products</v>
      </c>
      <c r="C403" s="716" t="str">
        <f>'Company Profile'!$C$45</f>
        <v>Wooden pallets</v>
      </c>
      <c r="D403" s="717"/>
      <c r="E403" s="191">
        <f>'Company Profile'!$D$45</f>
        <v>500000</v>
      </c>
      <c r="F403" s="173">
        <v>2</v>
      </c>
      <c r="G403" s="174">
        <v>1</v>
      </c>
      <c r="H403" s="173">
        <v>800</v>
      </c>
      <c r="I403" s="174">
        <v>0.5</v>
      </c>
      <c r="J403" s="173"/>
      <c r="K403" s="172">
        <v>0.5</v>
      </c>
      <c r="L403" s="141">
        <v>2</v>
      </c>
      <c r="M403" s="174">
        <v>0.5</v>
      </c>
      <c r="N403" s="173">
        <v>2</v>
      </c>
      <c r="O403" s="172">
        <v>0.5</v>
      </c>
      <c r="P403" s="141">
        <v>2</v>
      </c>
      <c r="Q403" s="171">
        <f>IF(SUM(H403+J403+L403+N403+P403)=0,"",(PRODUCT(G403,H403)+PRODUCT(I403,J403)+PRODUCT(K403,L403)+PRODUCT(M403,N403)+PRODUCT(O403,P403))/SUM(H403+J403+L403+N403+P403))</f>
        <v>0.99689826302729534</v>
      </c>
      <c r="R403" s="672"/>
      <c r="S403" s="673"/>
    </row>
    <row r="404" spans="1:28" ht="19.95" hidden="1" customHeight="1" outlineLevel="1" x14ac:dyDescent="0.35">
      <c r="A404" s="733"/>
      <c r="B404" s="176"/>
      <c r="C404" s="724"/>
      <c r="D404" s="725"/>
      <c r="E404" s="189"/>
      <c r="F404" s="175"/>
      <c r="G404" s="174"/>
      <c r="H404" s="173"/>
      <c r="I404" s="174"/>
      <c r="J404" s="173"/>
      <c r="K404" s="172"/>
      <c r="L404" s="141"/>
      <c r="M404" s="174"/>
      <c r="N404" s="173"/>
      <c r="O404" s="172"/>
      <c r="P404" s="141"/>
      <c r="Q404" s="171" t="str">
        <f>IF(SUM(H404+J404+L404+N404+P404)=0,"",(PRODUCT(G404,H404)+PRODUCT(I404,J404)+PRODUCT(K404,L404)+PRODUCT(M404,N404)+PRODUCT(O404,P404))/SUM(H404+J404+L404+N404+P404))</f>
        <v/>
      </c>
      <c r="R404" s="672"/>
      <c r="S404" s="673"/>
    </row>
    <row r="405" spans="1:28" s="1" customFormat="1" ht="19.95" hidden="1" customHeight="1" outlineLevel="1" x14ac:dyDescent="0.35">
      <c r="A405" s="733"/>
      <c r="B405" s="127" t="s">
        <v>309</v>
      </c>
      <c r="C405" s="126"/>
      <c r="D405" s="170"/>
      <c r="E405" s="169">
        <f>SUMIFS(E400:E404,B400:B404,"Sold or leased goods")</f>
        <v>5000000</v>
      </c>
      <c r="F405" s="681" t="s">
        <v>308</v>
      </c>
      <c r="G405" s="682"/>
      <c r="H405" s="4"/>
      <c r="I405" s="4"/>
      <c r="J405" s="4"/>
      <c r="K405" s="4"/>
      <c r="L405" s="4"/>
      <c r="M405" s="4"/>
      <c r="N405" s="4"/>
      <c r="O405" s="4"/>
      <c r="P405" s="4"/>
      <c r="Q405" s="4"/>
      <c r="R405" s="4"/>
      <c r="U405" s="4"/>
      <c r="V405" s="4"/>
      <c r="W405" s="4"/>
      <c r="X405" s="4"/>
      <c r="Y405" s="4"/>
      <c r="Z405" s="4"/>
      <c r="AA405" s="4"/>
      <c r="AB405" s="4"/>
    </row>
    <row r="406" spans="1:28" s="1" customFormat="1" ht="19.95" hidden="1" customHeight="1" outlineLevel="1" x14ac:dyDescent="0.35">
      <c r="A406" s="128"/>
      <c r="B406" s="4"/>
      <c r="C406" s="4"/>
      <c r="D406" s="4"/>
      <c r="E406" s="168">
        <f>SUMIFS(E400:E404,B400:B404,"Supplementary materials delivered to customers")</f>
        <v>1500</v>
      </c>
      <c r="F406" s="701" t="s">
        <v>307</v>
      </c>
      <c r="G406" s="702"/>
      <c r="H406" s="4"/>
      <c r="I406" s="4"/>
      <c r="J406" s="4"/>
      <c r="K406" s="4"/>
      <c r="L406" s="4"/>
      <c r="M406" s="4"/>
      <c r="N406" s="4"/>
      <c r="O406" s="4"/>
      <c r="P406" s="4"/>
      <c r="Q406" s="4"/>
      <c r="R406" s="4"/>
      <c r="V406" s="4"/>
      <c r="AB406" s="4"/>
    </row>
    <row r="407" spans="1:28" s="1" customFormat="1" ht="19.95" hidden="1" customHeight="1" outlineLevel="1" x14ac:dyDescent="0.35">
      <c r="A407" s="128"/>
      <c r="B407" s="4"/>
      <c r="C407" s="4"/>
      <c r="D407" s="4"/>
      <c r="E407" s="167">
        <f>SUMIFS(E400:E404,B400:B404,"Materials used to deliver products")</f>
        <v>500000</v>
      </c>
      <c r="F407" s="880" t="s">
        <v>129</v>
      </c>
      <c r="G407" s="881"/>
      <c r="H407" s="4"/>
      <c r="I407" s="4"/>
      <c r="J407" s="4"/>
      <c r="K407" s="4"/>
      <c r="L407" s="4"/>
      <c r="M407" s="4"/>
      <c r="N407" s="4"/>
      <c r="O407" s="4"/>
      <c r="P407" s="4"/>
      <c r="Q407" s="4"/>
      <c r="R407" s="4"/>
      <c r="V407" s="4"/>
      <c r="AB407" s="4"/>
    </row>
    <row r="408" spans="1:28" ht="15" customHeight="1" collapsed="1" x14ac:dyDescent="0.35">
      <c r="U408" s="3"/>
    </row>
    <row r="409" spans="1:28" ht="25.05" customHeight="1" x14ac:dyDescent="0.35">
      <c r="A409" s="9"/>
      <c r="B409" s="693" t="s">
        <v>306</v>
      </c>
      <c r="C409" s="694"/>
      <c r="D409" s="694"/>
      <c r="E409" s="694"/>
      <c r="F409" s="694"/>
      <c r="G409" s="694"/>
      <c r="H409" s="695"/>
      <c r="I409" s="699" t="s">
        <v>305</v>
      </c>
      <c r="J409" s="705">
        <f>$O$422</f>
        <v>0.88115942028985506</v>
      </c>
      <c r="K409" s="1"/>
      <c r="L409" s="1"/>
      <c r="M409" s="1"/>
      <c r="N409" s="1"/>
      <c r="O409" s="1"/>
      <c r="P409" s="1"/>
    </row>
    <row r="410" spans="1:28" ht="25.05" customHeight="1" x14ac:dyDescent="0.35">
      <c r="A410" s="9"/>
      <c r="B410" s="696"/>
      <c r="C410" s="697"/>
      <c r="D410" s="697"/>
      <c r="E410" s="697"/>
      <c r="F410" s="697"/>
      <c r="G410" s="697"/>
      <c r="H410" s="698"/>
      <c r="I410" s="700"/>
      <c r="J410" s="706"/>
      <c r="K410" s="1"/>
      <c r="L410" s="1"/>
      <c r="M410" s="1"/>
      <c r="N410" s="1"/>
      <c r="O410" s="1"/>
      <c r="P410" s="1"/>
    </row>
    <row r="411" spans="1:28" ht="82.5" hidden="1" customHeight="1" outlineLevel="1" x14ac:dyDescent="0.35">
      <c r="A411" s="9"/>
      <c r="B411" s="528" t="s">
        <v>304</v>
      </c>
      <c r="C411" s="527"/>
      <c r="D411" s="527"/>
      <c r="E411" s="527"/>
      <c r="F411" s="527"/>
      <c r="G411" s="527"/>
      <c r="H411" s="527"/>
      <c r="I411" s="527"/>
      <c r="J411" s="565"/>
      <c r="K411" s="1"/>
      <c r="L411" s="1"/>
      <c r="M411" s="1"/>
      <c r="N411" s="1"/>
      <c r="O411" s="1"/>
      <c r="P411" s="1"/>
    </row>
    <row r="412" spans="1:28" ht="69" hidden="1" customHeight="1" outlineLevel="1" x14ac:dyDescent="0.35">
      <c r="A412" s="9"/>
      <c r="B412" s="528"/>
      <c r="C412" s="527"/>
      <c r="D412" s="527"/>
      <c r="E412" s="527"/>
      <c r="F412" s="527"/>
      <c r="G412" s="527"/>
      <c r="H412" s="527"/>
      <c r="I412" s="527"/>
      <c r="J412" s="565"/>
      <c r="K412" s="1"/>
      <c r="L412" s="1"/>
      <c r="M412" s="1"/>
      <c r="N412" s="1"/>
      <c r="O412" s="1"/>
      <c r="P412" s="1"/>
    </row>
    <row r="413" spans="1:28" ht="25.05" hidden="1" customHeight="1" outlineLevel="1" x14ac:dyDescent="0.35">
      <c r="A413" s="10"/>
      <c r="B413" s="636" t="s">
        <v>222</v>
      </c>
      <c r="C413" s="637"/>
      <c r="D413" s="637"/>
      <c r="E413" s="637"/>
      <c r="F413" s="637"/>
      <c r="G413" s="637"/>
      <c r="H413" s="637"/>
      <c r="I413" s="637"/>
      <c r="J413" s="638"/>
      <c r="K413" s="1"/>
      <c r="L413" s="1"/>
      <c r="M413" s="1"/>
      <c r="N413" s="6"/>
      <c r="O413" s="6"/>
    </row>
    <row r="414" spans="1:28" ht="34.950000000000003" hidden="1" customHeight="1" outlineLevel="1" x14ac:dyDescent="0.35">
      <c r="A414" s="9"/>
      <c r="B414" s="662" t="s">
        <v>303</v>
      </c>
      <c r="C414" s="764"/>
      <c r="D414" s="684" t="s">
        <v>302</v>
      </c>
      <c r="E414" s="684" t="s">
        <v>301</v>
      </c>
      <c r="F414" s="684"/>
      <c r="G414" s="668" t="s">
        <v>300</v>
      </c>
      <c r="H414" s="669"/>
      <c r="I414" s="668" t="s">
        <v>299</v>
      </c>
      <c r="J414" s="669"/>
      <c r="K414" s="668" t="s">
        <v>298</v>
      </c>
      <c r="L414" s="763"/>
      <c r="M414" s="763"/>
      <c r="N414" s="669"/>
      <c r="O414" s="677" t="s">
        <v>297</v>
      </c>
      <c r="P414" s="662" t="s">
        <v>5</v>
      </c>
      <c r="Q414" s="663"/>
      <c r="S414" s="3"/>
      <c r="T414" s="3"/>
      <c r="U414" s="3"/>
      <c r="V414" s="3"/>
      <c r="W414" s="3"/>
    </row>
    <row r="415" spans="1:28" ht="133.05000000000001" hidden="1" customHeight="1" outlineLevel="1" x14ac:dyDescent="0.35">
      <c r="A415" s="9"/>
      <c r="B415" s="664"/>
      <c r="C415" s="765"/>
      <c r="D415" s="710"/>
      <c r="E415" s="710"/>
      <c r="F415" s="710"/>
      <c r="G415" s="356" t="s">
        <v>296</v>
      </c>
      <c r="H415" s="359" t="s">
        <v>295</v>
      </c>
      <c r="I415" s="356" t="s">
        <v>294</v>
      </c>
      <c r="J415" s="359" t="s">
        <v>293</v>
      </c>
      <c r="K415" s="356" t="s">
        <v>292</v>
      </c>
      <c r="L415" s="345" t="s">
        <v>291</v>
      </c>
      <c r="M415" s="345" t="s">
        <v>290</v>
      </c>
      <c r="N415" s="359" t="s">
        <v>289</v>
      </c>
      <c r="O415" s="692"/>
      <c r="P415" s="664"/>
      <c r="Q415" s="665"/>
      <c r="S415" s="3"/>
      <c r="T415" s="3"/>
      <c r="U415" s="3"/>
      <c r="V415" s="3"/>
      <c r="W415" s="3"/>
    </row>
    <row r="416" spans="1:28" ht="18.45" hidden="1" customHeight="1" outlineLevel="1" x14ac:dyDescent="0.35">
      <c r="A416" s="166"/>
      <c r="B416" s="666"/>
      <c r="C416" s="766"/>
      <c r="D416" s="711"/>
      <c r="E416" s="711"/>
      <c r="F416" s="711"/>
      <c r="G416" s="712" t="s">
        <v>288</v>
      </c>
      <c r="H416" s="713"/>
      <c r="I416" s="712" t="s">
        <v>288</v>
      </c>
      <c r="J416" s="713"/>
      <c r="K416" s="712" t="s">
        <v>287</v>
      </c>
      <c r="L416" s="858"/>
      <c r="M416" s="858"/>
      <c r="N416" s="713"/>
      <c r="O416" s="678"/>
      <c r="P416" s="666"/>
      <c r="Q416" s="667"/>
      <c r="S416" s="3"/>
      <c r="T416" s="3"/>
      <c r="U416" s="3"/>
    </row>
    <row r="417" spans="1:23" ht="19.95" hidden="1" customHeight="1" outlineLevel="1" x14ac:dyDescent="0.35">
      <c r="A417" s="9"/>
      <c r="B417" s="791" t="s">
        <v>286</v>
      </c>
      <c r="C417" s="792"/>
      <c r="D417" s="96">
        <v>300</v>
      </c>
      <c r="E417" s="803" t="str">
        <f>'Company Profile'!$B$24</f>
        <v>Jonesville plant</v>
      </c>
      <c r="F417" s="804"/>
      <c r="G417" s="679" t="s">
        <v>3</v>
      </c>
      <c r="H417" s="680"/>
      <c r="I417" s="679" t="s">
        <v>3</v>
      </c>
      <c r="J417" s="680"/>
      <c r="K417" s="674"/>
      <c r="L417" s="675"/>
      <c r="M417" s="675"/>
      <c r="N417" s="676"/>
      <c r="O417" s="165">
        <f>IF(COUNTIF(G417:N417,"Yes")=3,1,0)</f>
        <v>0</v>
      </c>
      <c r="P417" s="672"/>
      <c r="Q417" s="673"/>
      <c r="S417" s="3"/>
      <c r="T417" s="3"/>
      <c r="U417" s="3"/>
      <c r="V417" s="3"/>
      <c r="W417" s="3"/>
    </row>
    <row r="418" spans="1:23" ht="19.95" hidden="1" customHeight="1" outlineLevel="1" x14ac:dyDescent="0.35">
      <c r="A418" s="9"/>
      <c r="B418" s="655" t="s">
        <v>285</v>
      </c>
      <c r="C418" s="656"/>
      <c r="D418" s="98">
        <v>3000</v>
      </c>
      <c r="E418" s="730" t="str">
        <f>'Company Profile'!$B$25</f>
        <v>Smithtown warehouse</v>
      </c>
      <c r="F418" s="717"/>
      <c r="G418" s="679" t="s">
        <v>3</v>
      </c>
      <c r="H418" s="680"/>
      <c r="I418" s="679" t="s">
        <v>3</v>
      </c>
      <c r="J418" s="680"/>
      <c r="K418" s="674" t="s">
        <v>3</v>
      </c>
      <c r="L418" s="675"/>
      <c r="M418" s="675"/>
      <c r="N418" s="676"/>
      <c r="O418" s="164">
        <f>IF(COUNTIF(G418:N418,"Yes")=3,1,0)</f>
        <v>1</v>
      </c>
      <c r="P418" s="670"/>
      <c r="Q418" s="671"/>
      <c r="S418" s="3"/>
      <c r="T418" s="3"/>
      <c r="U418" s="3"/>
      <c r="V418" s="3"/>
      <c r="W418" s="3"/>
    </row>
    <row r="419" spans="1:23" ht="19.95" hidden="1" customHeight="1" outlineLevel="1" x14ac:dyDescent="0.35">
      <c r="A419" s="9"/>
      <c r="B419" s="655" t="s">
        <v>284</v>
      </c>
      <c r="C419" s="656"/>
      <c r="D419" s="98">
        <v>50</v>
      </c>
      <c r="E419" s="730" t="str">
        <f>'Company Profile'!$B$26</f>
        <v>Brocktown office</v>
      </c>
      <c r="F419" s="717"/>
      <c r="G419" s="679" t="s">
        <v>3</v>
      </c>
      <c r="H419" s="680"/>
      <c r="I419" s="679" t="s">
        <v>4</v>
      </c>
      <c r="J419" s="680"/>
      <c r="K419" s="674" t="s">
        <v>3</v>
      </c>
      <c r="L419" s="675"/>
      <c r="M419" s="675"/>
      <c r="N419" s="676"/>
      <c r="O419" s="164">
        <f>IF(COUNTIF(G419:N419,"Yes")=3,1,0)</f>
        <v>0</v>
      </c>
      <c r="P419" s="670"/>
      <c r="Q419" s="671"/>
      <c r="S419" s="3"/>
      <c r="T419" s="3"/>
      <c r="U419" s="3"/>
      <c r="V419" s="3"/>
      <c r="W419" s="3"/>
    </row>
    <row r="420" spans="1:23" ht="19.95" hidden="1" customHeight="1" outlineLevel="1" x14ac:dyDescent="0.35">
      <c r="A420" s="9"/>
      <c r="B420" s="655" t="s">
        <v>284</v>
      </c>
      <c r="C420" s="656"/>
      <c r="D420" s="98">
        <v>60</v>
      </c>
      <c r="E420" s="730" t="str">
        <f>'Company Profile'!$B$27</f>
        <v>Edenville office</v>
      </c>
      <c r="F420" s="717"/>
      <c r="G420" s="679" t="s">
        <v>3</v>
      </c>
      <c r="H420" s="680"/>
      <c r="I420" s="679" t="s">
        <v>3</v>
      </c>
      <c r="J420" s="680"/>
      <c r="K420" s="674" t="s">
        <v>4</v>
      </c>
      <c r="L420" s="675"/>
      <c r="M420" s="675"/>
      <c r="N420" s="676"/>
      <c r="O420" s="164">
        <f>IF(COUNTIF(G420:N420,"Yes")=3,1,0)</f>
        <v>0</v>
      </c>
      <c r="P420" s="670"/>
      <c r="Q420" s="671"/>
      <c r="S420" s="3"/>
      <c r="T420" s="3"/>
      <c r="U420" s="3"/>
      <c r="V420" s="3"/>
      <c r="W420" s="3"/>
    </row>
    <row r="421" spans="1:23" ht="19.95" hidden="1" customHeight="1" outlineLevel="1" x14ac:dyDescent="0.35">
      <c r="A421" s="733"/>
      <c r="B421" s="657" t="s">
        <v>283</v>
      </c>
      <c r="C421" s="658"/>
      <c r="D421" s="100">
        <v>40</v>
      </c>
      <c r="E421" s="730" t="str">
        <f>'Company Profile'!$B$28</f>
        <v>HQ</v>
      </c>
      <c r="F421" s="717"/>
      <c r="G421" s="679" t="s">
        <v>3</v>
      </c>
      <c r="H421" s="680"/>
      <c r="I421" s="679" t="s">
        <v>3</v>
      </c>
      <c r="J421" s="680"/>
      <c r="K421" s="674" t="s">
        <v>3</v>
      </c>
      <c r="L421" s="675"/>
      <c r="M421" s="675"/>
      <c r="N421" s="676"/>
      <c r="O421" s="163">
        <f>IF(COUNTIF(G421:N421,"Yes")=3,1,0)</f>
        <v>1</v>
      </c>
      <c r="P421" s="718"/>
      <c r="Q421" s="719"/>
      <c r="S421" s="3"/>
      <c r="T421" s="3"/>
      <c r="U421" s="3"/>
      <c r="V421" s="3"/>
      <c r="W421" s="3"/>
    </row>
    <row r="422" spans="1:23" s="1" customFormat="1" ht="19.95" hidden="1" customHeight="1" outlineLevel="1" x14ac:dyDescent="0.35">
      <c r="A422" s="733"/>
      <c r="B422" s="127" t="s">
        <v>148</v>
      </c>
      <c r="C422" s="126"/>
      <c r="D422" s="125">
        <f>SUM(D417:D421)</f>
        <v>3450</v>
      </c>
      <c r="E422" s="4"/>
      <c r="F422" s="4"/>
      <c r="G422" s="11"/>
      <c r="H422" s="11"/>
      <c r="I422" s="11"/>
      <c r="J422" s="11"/>
      <c r="K422" s="11"/>
      <c r="L422" s="11"/>
      <c r="M422" s="11"/>
      <c r="N422" s="11"/>
      <c r="O422" s="162">
        <f>SUMPRODUCT(D417:D421,O417:O421)/SUM(D417:D421)</f>
        <v>0.88115942028985506</v>
      </c>
      <c r="S422" s="3"/>
      <c r="V422" s="4"/>
    </row>
    <row r="423" spans="1:23" ht="15" customHeight="1" collapsed="1" x14ac:dyDescent="0.35">
      <c r="U423" s="3"/>
    </row>
    <row r="424" spans="1:23" ht="25.05" customHeight="1" x14ac:dyDescent="0.35">
      <c r="A424" s="9"/>
      <c r="B424" s="693" t="s">
        <v>282</v>
      </c>
      <c r="C424" s="694"/>
      <c r="D424" s="694"/>
      <c r="E424" s="694"/>
      <c r="F424" s="694"/>
      <c r="G424" s="694"/>
      <c r="H424" s="695"/>
      <c r="I424" s="699" t="s">
        <v>247</v>
      </c>
      <c r="J424" s="705">
        <f>IF(F428="","",(IF(F428="No",SUM(COUNTIF(E440:E444,"Yes")+COUNTIF(E446:E448,"Yes")+I444+M444)/16,SUM(COUNTIF(E440:E445,"Yes")+COUNTIF(E446:E448,"Yes")+I444+M444)/17)))</f>
        <v>0.6470588235294118</v>
      </c>
      <c r="K424" s="1"/>
      <c r="L424" s="1"/>
      <c r="M424" s="1"/>
      <c r="N424" s="1"/>
      <c r="O424" s="1"/>
      <c r="P424" s="1"/>
    </row>
    <row r="425" spans="1:23" ht="25.05" customHeight="1" x14ac:dyDescent="0.35">
      <c r="A425" s="9"/>
      <c r="B425" s="696"/>
      <c r="C425" s="697"/>
      <c r="D425" s="697"/>
      <c r="E425" s="697"/>
      <c r="F425" s="697"/>
      <c r="G425" s="697"/>
      <c r="H425" s="698"/>
      <c r="I425" s="700"/>
      <c r="J425" s="706"/>
      <c r="K425" s="1"/>
      <c r="L425" s="1"/>
      <c r="M425" s="1"/>
      <c r="N425" s="1"/>
      <c r="O425" s="1"/>
      <c r="P425" s="1"/>
    </row>
    <row r="426" spans="1:23" s="11" customFormat="1" ht="83.55" hidden="1" customHeight="1" outlineLevel="1" x14ac:dyDescent="0.35">
      <c r="A426" s="13"/>
      <c r="B426" s="767" t="s">
        <v>281</v>
      </c>
      <c r="C426" s="777"/>
      <c r="D426" s="777"/>
      <c r="E426" s="777"/>
      <c r="F426" s="777"/>
      <c r="G426" s="777"/>
      <c r="H426" s="777"/>
      <c r="I426" s="777"/>
      <c r="J426" s="798"/>
    </row>
    <row r="427" spans="1:23" ht="25.05" hidden="1" customHeight="1" outlineLevel="1" x14ac:dyDescent="0.35">
      <c r="A427" s="10"/>
      <c r="B427" s="636" t="s">
        <v>222</v>
      </c>
      <c r="C427" s="637"/>
      <c r="D427" s="637"/>
      <c r="E427" s="637"/>
      <c r="F427" s="637"/>
      <c r="G427" s="637"/>
      <c r="H427" s="637"/>
      <c r="I427" s="637"/>
      <c r="J427" s="638"/>
      <c r="K427" s="1"/>
      <c r="L427" s="1"/>
      <c r="M427" s="1"/>
      <c r="N427" s="6"/>
      <c r="O427" s="6"/>
    </row>
    <row r="428" spans="1:23" s="11" customFormat="1" ht="43.5" hidden="1" customHeight="1" outlineLevel="1" thickBot="1" x14ac:dyDescent="0.4">
      <c r="A428" s="13"/>
      <c r="B428" s="882" t="s">
        <v>280</v>
      </c>
      <c r="C428" s="882"/>
      <c r="D428" s="882"/>
      <c r="E428" s="882"/>
      <c r="F428" s="161" t="s">
        <v>3</v>
      </c>
      <c r="G428" s="767" t="s">
        <v>279</v>
      </c>
      <c r="H428" s="777"/>
    </row>
    <row r="429" spans="1:23" s="11" customFormat="1" ht="40.049999999999997" hidden="1" customHeight="1" outlineLevel="1" x14ac:dyDescent="0.35">
      <c r="A429" s="13"/>
      <c r="B429" s="883" t="s">
        <v>278</v>
      </c>
      <c r="C429" s="884"/>
      <c r="D429" s="884"/>
      <c r="E429" s="884"/>
      <c r="F429" s="156" t="s">
        <v>3</v>
      </c>
    </row>
    <row r="430" spans="1:23" s="11" customFormat="1" ht="40.049999999999997" hidden="1" customHeight="1" outlineLevel="1" x14ac:dyDescent="0.35">
      <c r="A430" s="13"/>
      <c r="B430" s="808" t="s">
        <v>277</v>
      </c>
      <c r="C430" s="809"/>
      <c r="D430" s="809"/>
      <c r="E430" s="809"/>
      <c r="F430" s="154" t="s">
        <v>3</v>
      </c>
    </row>
    <row r="431" spans="1:23" s="11" customFormat="1" ht="40.049999999999997" hidden="1" customHeight="1" outlineLevel="1" x14ac:dyDescent="0.35">
      <c r="A431" s="13"/>
      <c r="B431" s="808" t="s">
        <v>276</v>
      </c>
      <c r="C431" s="809"/>
      <c r="D431" s="809"/>
      <c r="E431" s="809"/>
      <c r="F431" s="154" t="s">
        <v>3</v>
      </c>
    </row>
    <row r="432" spans="1:23" s="11" customFormat="1" ht="40.049999999999997" hidden="1" customHeight="1" outlineLevel="1" x14ac:dyDescent="0.35">
      <c r="A432" s="13"/>
      <c r="B432" s="808" t="s">
        <v>275</v>
      </c>
      <c r="C432" s="809"/>
      <c r="D432" s="809"/>
      <c r="E432" s="809"/>
      <c r="F432" s="154" t="s">
        <v>4</v>
      </c>
    </row>
    <row r="433" spans="1:23" s="11" customFormat="1" ht="40.049999999999997" hidden="1" customHeight="1" outlineLevel="1" x14ac:dyDescent="0.35">
      <c r="A433" s="13"/>
      <c r="B433" s="808" t="s">
        <v>274</v>
      </c>
      <c r="C433" s="809"/>
      <c r="D433" s="809"/>
      <c r="E433" s="809"/>
      <c r="F433" s="154" t="s">
        <v>3</v>
      </c>
    </row>
    <row r="434" spans="1:23" s="11" customFormat="1" ht="40.049999999999997" hidden="1" customHeight="1" outlineLevel="1" x14ac:dyDescent="0.35">
      <c r="A434" s="13"/>
      <c r="B434" s="808" t="s">
        <v>273</v>
      </c>
      <c r="C434" s="809"/>
      <c r="D434" s="809"/>
      <c r="E434" s="809"/>
      <c r="F434" s="154" t="s">
        <v>3</v>
      </c>
    </row>
    <row r="435" spans="1:23" s="11" customFormat="1" ht="54" hidden="1" customHeight="1" outlineLevel="1" x14ac:dyDescent="0.35">
      <c r="A435" s="13"/>
      <c r="B435" s="793" t="s">
        <v>272</v>
      </c>
      <c r="C435" s="794"/>
      <c r="D435" s="794"/>
      <c r="E435" s="794"/>
      <c r="F435" s="160" t="s">
        <v>4</v>
      </c>
      <c r="S435" s="3"/>
      <c r="T435" s="3"/>
      <c r="U435" s="3"/>
      <c r="V435" s="3"/>
      <c r="W435" s="3"/>
    </row>
    <row r="436" spans="1:23" s="11" customFormat="1" ht="29.55" hidden="1" customHeight="1" outlineLevel="1" x14ac:dyDescent="0.35">
      <c r="A436" s="13"/>
      <c r="B436" s="795" t="s">
        <v>271</v>
      </c>
      <c r="C436" s="796"/>
      <c r="D436" s="796"/>
      <c r="E436" s="797"/>
      <c r="F436" s="159">
        <f>IF(F428 = "", "", COUNTIF(F429:F435,"Yes"))</f>
        <v>5</v>
      </c>
      <c r="S436" s="3"/>
      <c r="T436" s="3"/>
      <c r="U436" s="3"/>
      <c r="V436" s="3"/>
      <c r="W436" s="3"/>
    </row>
    <row r="437" spans="1:23" s="11" customFormat="1" ht="10.050000000000001" hidden="1" customHeight="1" outlineLevel="1" x14ac:dyDescent="0.35">
      <c r="A437" s="13"/>
      <c r="D437" s="158"/>
      <c r="E437" s="158"/>
      <c r="F437" s="158"/>
      <c r="S437" s="3"/>
      <c r="T437" s="3"/>
      <c r="U437" s="3"/>
      <c r="V437" s="3"/>
      <c r="W437" s="3"/>
    </row>
    <row r="438" spans="1:23" s="11" customFormat="1" ht="29.55" hidden="1" customHeight="1" outlineLevel="1" x14ac:dyDescent="0.35">
      <c r="A438" s="13"/>
      <c r="B438" s="799" t="s">
        <v>270</v>
      </c>
      <c r="C438" s="800"/>
      <c r="D438" s="800"/>
      <c r="E438" s="800"/>
      <c r="F438" s="800"/>
      <c r="G438" s="800"/>
      <c r="H438" s="800"/>
      <c r="I438" s="800"/>
      <c r="J438" s="800"/>
      <c r="K438" s="800"/>
      <c r="L438" s="800"/>
      <c r="M438" s="801"/>
      <c r="S438" s="3"/>
      <c r="T438" s="3"/>
      <c r="U438" s="3"/>
      <c r="V438" s="3"/>
      <c r="W438" s="3"/>
    </row>
    <row r="439" spans="1:23" s="11" customFormat="1" ht="25.95" hidden="1" customHeight="1" outlineLevel="1" x14ac:dyDescent="0.35">
      <c r="A439" s="13"/>
      <c r="B439" s="774" t="s">
        <v>269</v>
      </c>
      <c r="C439" s="775"/>
      <c r="D439" s="775"/>
      <c r="E439" s="776"/>
      <c r="F439" s="774" t="s">
        <v>268</v>
      </c>
      <c r="G439" s="775"/>
      <c r="H439" s="775"/>
      <c r="I439" s="776"/>
      <c r="J439" s="774" t="s">
        <v>267</v>
      </c>
      <c r="K439" s="775"/>
      <c r="L439" s="775"/>
      <c r="M439" s="776"/>
      <c r="S439" s="3"/>
      <c r="T439" s="3"/>
      <c r="U439" s="3"/>
      <c r="V439" s="3"/>
      <c r="W439" s="3"/>
    </row>
    <row r="440" spans="1:23" s="11" customFormat="1" ht="49.95" hidden="1" customHeight="1" outlineLevel="1" x14ac:dyDescent="0.35">
      <c r="A440" s="13"/>
      <c r="B440" s="771" t="s">
        <v>266</v>
      </c>
      <c r="C440" s="772"/>
      <c r="D440" s="773"/>
      <c r="E440" s="157" t="s">
        <v>3</v>
      </c>
      <c r="F440" s="771" t="s">
        <v>265</v>
      </c>
      <c r="G440" s="772"/>
      <c r="H440" s="773"/>
      <c r="I440" s="156" t="s">
        <v>3</v>
      </c>
      <c r="J440" s="771" t="s">
        <v>264</v>
      </c>
      <c r="K440" s="772"/>
      <c r="L440" s="773"/>
      <c r="M440" s="156" t="s">
        <v>3</v>
      </c>
      <c r="S440" s="3"/>
      <c r="T440" s="3"/>
      <c r="U440" s="3"/>
      <c r="V440" s="3"/>
      <c r="W440" s="3"/>
    </row>
    <row r="441" spans="1:23" s="11" customFormat="1" ht="51.45" hidden="1" customHeight="1" outlineLevel="1" x14ac:dyDescent="0.35">
      <c r="A441" s="770"/>
      <c r="B441" s="771" t="s">
        <v>263</v>
      </c>
      <c r="C441" s="772"/>
      <c r="D441" s="773"/>
      <c r="E441" s="155" t="s">
        <v>3</v>
      </c>
      <c r="F441" s="771" t="s">
        <v>262</v>
      </c>
      <c r="G441" s="772"/>
      <c r="H441" s="773"/>
      <c r="I441" s="154" t="s">
        <v>3</v>
      </c>
      <c r="J441" s="771" t="s">
        <v>261</v>
      </c>
      <c r="K441" s="772"/>
      <c r="L441" s="773"/>
      <c r="M441" s="154" t="s">
        <v>4</v>
      </c>
      <c r="S441" s="3"/>
      <c r="T441" s="3"/>
      <c r="U441" s="3"/>
      <c r="V441" s="3"/>
      <c r="W441" s="3"/>
    </row>
    <row r="442" spans="1:23" s="1" customFormat="1" ht="55.05" hidden="1" customHeight="1" outlineLevel="1" x14ac:dyDescent="0.35">
      <c r="A442" s="770"/>
      <c r="B442" s="771" t="s">
        <v>260</v>
      </c>
      <c r="C442" s="772"/>
      <c r="D442" s="773"/>
      <c r="E442" s="152" t="s">
        <v>3</v>
      </c>
      <c r="F442" s="771" t="s">
        <v>259</v>
      </c>
      <c r="G442" s="772"/>
      <c r="H442" s="773"/>
      <c r="I442" s="154" t="s">
        <v>3</v>
      </c>
      <c r="J442" s="771" t="s">
        <v>258</v>
      </c>
      <c r="K442" s="772"/>
      <c r="L442" s="773"/>
      <c r="M442" s="154" t="s">
        <v>4</v>
      </c>
      <c r="O442" s="11"/>
      <c r="P442" s="11"/>
      <c r="Q442" s="11"/>
      <c r="R442" s="11"/>
      <c r="S442" s="3"/>
      <c r="V442" s="11"/>
    </row>
    <row r="443" spans="1:23" s="11" customFormat="1" ht="49.05" hidden="1" customHeight="1" outlineLevel="1" x14ac:dyDescent="0.35">
      <c r="B443" s="771" t="s">
        <v>257</v>
      </c>
      <c r="C443" s="772"/>
      <c r="D443" s="773"/>
      <c r="E443" s="152" t="s">
        <v>3</v>
      </c>
      <c r="F443" s="873" t="s">
        <v>256</v>
      </c>
      <c r="G443" s="874"/>
      <c r="H443" s="875"/>
      <c r="I443" s="153" t="s">
        <v>4</v>
      </c>
      <c r="J443" s="873" t="s">
        <v>255</v>
      </c>
      <c r="K443" s="874"/>
      <c r="L443" s="875"/>
      <c r="M443" s="153" t="s">
        <v>3</v>
      </c>
      <c r="U443" s="3"/>
    </row>
    <row r="444" spans="1:23" s="11" customFormat="1" ht="51.45" hidden="1" customHeight="1" outlineLevel="1" x14ac:dyDescent="0.35">
      <c r="B444" s="771" t="s">
        <v>254</v>
      </c>
      <c r="C444" s="772"/>
      <c r="D444" s="773"/>
      <c r="E444" s="152" t="s">
        <v>3</v>
      </c>
      <c r="F444" s="802" t="s">
        <v>249</v>
      </c>
      <c r="G444" s="802"/>
      <c r="H444" s="802"/>
      <c r="I444" s="150">
        <f>IF(F428="","",COUNTIF(I440:I443,"Yes"))</f>
        <v>3</v>
      </c>
      <c r="J444" s="887" t="s">
        <v>249</v>
      </c>
      <c r="K444" s="887"/>
      <c r="L444" s="887"/>
      <c r="M444" s="150">
        <f>IF(F428 = "", "", COUNTIF(M440:M443,"Yes"))</f>
        <v>2</v>
      </c>
    </row>
    <row r="445" spans="1:23" s="11" customFormat="1" ht="79.05" hidden="1" customHeight="1" outlineLevel="1" x14ac:dyDescent="0.35">
      <c r="B445" s="771" t="s">
        <v>253</v>
      </c>
      <c r="C445" s="772"/>
      <c r="D445" s="773"/>
      <c r="E445" s="152" t="s">
        <v>4</v>
      </c>
      <c r="F445" s="4"/>
      <c r="G445" s="4"/>
      <c r="H445" s="4"/>
      <c r="I445" s="4"/>
      <c r="J445" s="4"/>
      <c r="K445" s="4"/>
      <c r="L445" s="4"/>
      <c r="M445" s="4"/>
    </row>
    <row r="446" spans="1:23" s="11" customFormat="1" ht="45" hidden="1" customHeight="1" outlineLevel="1" x14ac:dyDescent="0.35">
      <c r="B446" s="771" t="s">
        <v>252</v>
      </c>
      <c r="C446" s="772"/>
      <c r="D446" s="773"/>
      <c r="E446" s="152" t="s">
        <v>3</v>
      </c>
      <c r="F446" s="4"/>
      <c r="G446" s="4"/>
      <c r="H446" s="4"/>
      <c r="I446" s="4"/>
      <c r="J446" s="4"/>
      <c r="K446" s="4"/>
      <c r="L446" s="4"/>
      <c r="M446" s="4"/>
    </row>
    <row r="447" spans="1:23" s="11" customFormat="1" ht="45" hidden="1" customHeight="1" outlineLevel="1" x14ac:dyDescent="0.35">
      <c r="B447" s="771" t="s">
        <v>251</v>
      </c>
      <c r="C447" s="772"/>
      <c r="D447" s="773"/>
      <c r="E447" s="152" t="s">
        <v>4</v>
      </c>
      <c r="F447" s="4"/>
      <c r="G447" s="4"/>
      <c r="H447" s="4"/>
      <c r="I447" s="4"/>
      <c r="J447" s="4"/>
      <c r="K447" s="4"/>
      <c r="L447" s="4"/>
      <c r="M447" s="4"/>
    </row>
    <row r="448" spans="1:23" s="11" customFormat="1" ht="64.95" hidden="1" customHeight="1" outlineLevel="1" x14ac:dyDescent="0.35">
      <c r="B448" s="873" t="s">
        <v>250</v>
      </c>
      <c r="C448" s="874"/>
      <c r="D448" s="875"/>
      <c r="E448" s="151" t="s">
        <v>4</v>
      </c>
      <c r="F448" s="4"/>
      <c r="G448" s="4"/>
      <c r="H448" s="4"/>
      <c r="I448" s="4"/>
      <c r="J448" s="4"/>
      <c r="K448" s="4"/>
      <c r="L448" s="4"/>
      <c r="M448" s="4"/>
    </row>
    <row r="449" spans="1:30" s="11" customFormat="1" ht="45" hidden="1" customHeight="1" outlineLevel="1" x14ac:dyDescent="0.35">
      <c r="B449" s="802" t="s">
        <v>249</v>
      </c>
      <c r="C449" s="802"/>
      <c r="D449" s="802"/>
      <c r="E449" s="150">
        <f>IF(F428="","",COUNTIF(E440:E448,"Yes"))</f>
        <v>6</v>
      </c>
      <c r="G449" s="4"/>
      <c r="H449" s="4"/>
      <c r="I449" s="4"/>
      <c r="J449" s="4"/>
      <c r="K449" s="4"/>
      <c r="L449" s="4"/>
      <c r="M449" s="4"/>
    </row>
    <row r="450" spans="1:30" ht="15" customHeight="1" collapsed="1" x14ac:dyDescent="0.35"/>
    <row r="451" spans="1:30" ht="25.05" customHeight="1" x14ac:dyDescent="0.35">
      <c r="A451" s="9"/>
      <c r="B451" s="693" t="s">
        <v>248</v>
      </c>
      <c r="C451" s="694"/>
      <c r="D451" s="694"/>
      <c r="E451" s="694"/>
      <c r="F451" s="694"/>
      <c r="G451" s="694"/>
      <c r="H451" s="695"/>
      <c r="I451" s="699" t="s">
        <v>247</v>
      </c>
      <c r="J451" s="705">
        <f>IF(COUNTIF(E457:E460,"Yes")&lt;4,0,IF(AND(COUNTIF(E457:E460,"Yes")=4,COUNTIF(H457:H461,"Yes")=5,COUNTIF(K457:K460,"Yes")=4),1,IF(AND(COUNTIF(E457:E460,"Yes")=4,COUNTIF(H457:H461,"Yes")&lt;5,COUNTIF(K457:K460,"Yes")=4),0.75,IF(AND(COUNTIF(E457:E460,"Yes")=4,COUNTIF(H457:H461,"Yes")=5,COUNTIF(K457:K460,"Yes")&lt;4),0.75,IF(AND(COUNTIF(E457:E460,"Yes")=4,COUNTIF(H457:H461,"Yes")&lt;5,COUNTIF(K457:K460,"Yes")&lt;4),0.5,0)))))</f>
        <v>0.5</v>
      </c>
      <c r="K451" s="1"/>
      <c r="L451" s="1"/>
      <c r="M451" s="1"/>
      <c r="N451" s="1"/>
      <c r="O451" s="1"/>
      <c r="P451" s="1"/>
    </row>
    <row r="452" spans="1:30" ht="25.05" customHeight="1" x14ac:dyDescent="0.35">
      <c r="A452" s="9"/>
      <c r="B452" s="696"/>
      <c r="C452" s="697"/>
      <c r="D452" s="697"/>
      <c r="E452" s="697"/>
      <c r="F452" s="697"/>
      <c r="G452" s="697"/>
      <c r="H452" s="698"/>
      <c r="I452" s="700"/>
      <c r="J452" s="706"/>
      <c r="K452" s="1"/>
      <c r="L452" s="1"/>
      <c r="M452" s="1"/>
      <c r="N452" s="1"/>
      <c r="O452" s="1"/>
      <c r="P452" s="1"/>
    </row>
    <row r="453" spans="1:30" s="11" customFormat="1" ht="144" hidden="1" customHeight="1" outlineLevel="1" x14ac:dyDescent="0.35">
      <c r="A453" s="13"/>
      <c r="B453" s="768" t="s">
        <v>246</v>
      </c>
      <c r="C453" s="871"/>
      <c r="D453" s="871"/>
      <c r="E453" s="871"/>
      <c r="F453" s="871"/>
      <c r="G453" s="871"/>
      <c r="H453" s="871"/>
      <c r="I453" s="871"/>
      <c r="J453" s="872"/>
    </row>
    <row r="454" spans="1:30" ht="25.05" hidden="1" customHeight="1" outlineLevel="1" x14ac:dyDescent="0.35">
      <c r="A454" s="10"/>
      <c r="B454" s="636" t="s">
        <v>222</v>
      </c>
      <c r="C454" s="637"/>
      <c r="D454" s="637"/>
      <c r="E454" s="637"/>
      <c r="F454" s="637"/>
      <c r="G454" s="637"/>
      <c r="H454" s="637"/>
      <c r="I454" s="637"/>
      <c r="J454" s="638"/>
      <c r="K454" s="1"/>
      <c r="L454" s="1"/>
      <c r="M454" s="1"/>
      <c r="N454" s="6"/>
      <c r="O454" s="6"/>
    </row>
    <row r="455" spans="1:30" s="3" customFormat="1" ht="24.45" hidden="1" customHeight="1" outlineLevel="1" x14ac:dyDescent="0.35">
      <c r="A455" s="13"/>
      <c r="B455" s="868" t="s">
        <v>245</v>
      </c>
      <c r="C455" s="869"/>
      <c r="D455" s="869"/>
      <c r="E455" s="869"/>
      <c r="F455" s="868" t="s">
        <v>244</v>
      </c>
      <c r="G455" s="869"/>
      <c r="H455" s="870"/>
      <c r="I455" s="868" t="s">
        <v>243</v>
      </c>
      <c r="J455" s="869"/>
      <c r="K455" s="870"/>
      <c r="M455" s="11"/>
      <c r="N455" s="11"/>
      <c r="O455" s="11"/>
      <c r="P455" s="11"/>
      <c r="Q455" s="11"/>
      <c r="R455" s="11"/>
      <c r="S455" s="11"/>
      <c r="T455" s="11"/>
      <c r="U455" s="11"/>
      <c r="V455" s="11"/>
      <c r="W455" s="11"/>
      <c r="X455" s="11"/>
      <c r="Y455" s="11"/>
      <c r="Z455" s="11"/>
      <c r="AA455" s="11"/>
      <c r="AB455" s="11"/>
      <c r="AC455" s="11"/>
      <c r="AD455" s="11"/>
    </row>
    <row r="456" spans="1:30" s="3" customFormat="1" ht="36.450000000000003" hidden="1" customHeight="1" outlineLevel="1" x14ac:dyDescent="0.35">
      <c r="A456" s="13"/>
      <c r="B456" s="805" t="s">
        <v>242</v>
      </c>
      <c r="C456" s="806"/>
      <c r="D456" s="806"/>
      <c r="E456" s="806"/>
      <c r="F456" s="805" t="s">
        <v>241</v>
      </c>
      <c r="G456" s="806"/>
      <c r="H456" s="807"/>
      <c r="I456" s="805" t="s">
        <v>240</v>
      </c>
      <c r="J456" s="806"/>
      <c r="K456" s="807"/>
      <c r="M456" s="11"/>
      <c r="N456" s="11"/>
      <c r="O456" s="11"/>
      <c r="P456" s="11"/>
      <c r="Q456" s="11"/>
      <c r="R456" s="11"/>
      <c r="S456" s="11"/>
      <c r="T456" s="11"/>
      <c r="U456" s="11"/>
      <c r="V456" s="11"/>
      <c r="W456" s="11"/>
      <c r="X456" s="11"/>
      <c r="Y456" s="11"/>
      <c r="Z456" s="11"/>
      <c r="AA456" s="11"/>
      <c r="AB456" s="11"/>
      <c r="AC456" s="11"/>
      <c r="AD456" s="11"/>
    </row>
    <row r="457" spans="1:30" s="3" customFormat="1" ht="55.95" hidden="1" customHeight="1" outlineLevel="1" x14ac:dyDescent="0.35">
      <c r="B457" s="885" t="s">
        <v>239</v>
      </c>
      <c r="C457" s="886"/>
      <c r="D457" s="886"/>
      <c r="E457" s="149" t="s">
        <v>3</v>
      </c>
      <c r="F457" s="885" t="s">
        <v>238</v>
      </c>
      <c r="G457" s="886"/>
      <c r="H457" s="148" t="s">
        <v>3</v>
      </c>
      <c r="I457" s="885" t="s">
        <v>237</v>
      </c>
      <c r="J457" s="886"/>
      <c r="K457" s="148" t="s">
        <v>3</v>
      </c>
      <c r="M457" s="11"/>
      <c r="N457" s="11"/>
      <c r="O457" s="11"/>
      <c r="P457" s="11"/>
      <c r="Q457" s="11"/>
      <c r="R457" s="11"/>
      <c r="S457" s="11"/>
      <c r="T457" s="11"/>
      <c r="U457" s="11"/>
      <c r="V457" s="11"/>
      <c r="W457" s="11"/>
      <c r="X457" s="11"/>
      <c r="Y457" s="11"/>
      <c r="Z457" s="11"/>
      <c r="AA457" s="11"/>
      <c r="AB457" s="11"/>
      <c r="AC457" s="11"/>
      <c r="AD457" s="11"/>
    </row>
    <row r="458" spans="1:30" s="3" customFormat="1" ht="100.05" hidden="1" customHeight="1" outlineLevel="1" x14ac:dyDescent="0.35">
      <c r="B458" s="781" t="s">
        <v>236</v>
      </c>
      <c r="C458" s="782"/>
      <c r="D458" s="782"/>
      <c r="E458" s="147" t="s">
        <v>3</v>
      </c>
      <c r="F458" s="781" t="s">
        <v>235</v>
      </c>
      <c r="G458" s="782"/>
      <c r="H458" s="147" t="s">
        <v>3</v>
      </c>
      <c r="I458" s="781" t="s">
        <v>234</v>
      </c>
      <c r="J458" s="782"/>
      <c r="K458" s="147" t="s">
        <v>4</v>
      </c>
      <c r="M458" s="11"/>
      <c r="N458" s="11"/>
      <c r="O458" s="11"/>
      <c r="P458" s="11"/>
      <c r="Q458" s="11"/>
      <c r="R458" s="11"/>
      <c r="S458" s="11"/>
      <c r="T458" s="11"/>
      <c r="U458" s="11"/>
      <c r="V458" s="11"/>
      <c r="W458" s="11"/>
      <c r="X458" s="11"/>
      <c r="Y458" s="11"/>
      <c r="Z458" s="11"/>
      <c r="AA458" s="11"/>
      <c r="AB458" s="11"/>
      <c r="AC458" s="11"/>
      <c r="AD458" s="11"/>
    </row>
    <row r="459" spans="1:30" s="3" customFormat="1" ht="73.95" hidden="1" customHeight="1" outlineLevel="1" x14ac:dyDescent="0.35">
      <c r="B459" s="781" t="s">
        <v>233</v>
      </c>
      <c r="C459" s="782"/>
      <c r="D459" s="782"/>
      <c r="E459" s="147" t="s">
        <v>3</v>
      </c>
      <c r="F459" s="781" t="s">
        <v>232</v>
      </c>
      <c r="G459" s="782"/>
      <c r="H459" s="147" t="s">
        <v>4</v>
      </c>
      <c r="I459" s="781" t="s">
        <v>231</v>
      </c>
      <c r="J459" s="782"/>
      <c r="K459" s="147" t="s">
        <v>4</v>
      </c>
      <c r="M459" s="11"/>
      <c r="N459" s="11"/>
      <c r="O459" s="11"/>
      <c r="P459" s="11"/>
      <c r="Q459" s="11"/>
      <c r="R459" s="11"/>
      <c r="S459" s="11"/>
      <c r="T459" s="11"/>
      <c r="U459" s="11"/>
      <c r="V459" s="11"/>
      <c r="W459" s="11"/>
      <c r="X459" s="11"/>
      <c r="Y459" s="11"/>
      <c r="Z459" s="11"/>
      <c r="AA459" s="11"/>
      <c r="AB459" s="11"/>
      <c r="AC459" s="11"/>
      <c r="AD459" s="11"/>
    </row>
    <row r="460" spans="1:30" s="3" customFormat="1" ht="70.95" hidden="1" customHeight="1" outlineLevel="1" x14ac:dyDescent="0.35">
      <c r="B460" s="779" t="s">
        <v>230</v>
      </c>
      <c r="C460" s="780"/>
      <c r="D460" s="780"/>
      <c r="E460" s="145" t="s">
        <v>3</v>
      </c>
      <c r="F460" s="781" t="s">
        <v>229</v>
      </c>
      <c r="G460" s="782"/>
      <c r="H460" s="147" t="s">
        <v>4</v>
      </c>
      <c r="I460" s="779" t="s">
        <v>228</v>
      </c>
      <c r="J460" s="780"/>
      <c r="K460" s="145" t="s">
        <v>4</v>
      </c>
      <c r="M460" s="11"/>
      <c r="N460" s="11"/>
      <c r="O460" s="11"/>
      <c r="P460" s="11"/>
      <c r="Q460" s="11"/>
      <c r="R460" s="11"/>
      <c r="S460" s="11"/>
      <c r="T460" s="11"/>
      <c r="U460" s="11"/>
      <c r="V460" s="11"/>
      <c r="W460" s="11"/>
      <c r="X460" s="11"/>
      <c r="Y460" s="11"/>
      <c r="Z460" s="11"/>
      <c r="AA460" s="11"/>
      <c r="AB460" s="11"/>
      <c r="AC460" s="11"/>
      <c r="AD460" s="11"/>
    </row>
    <row r="461" spans="1:30" s="3" customFormat="1" ht="56.55" hidden="1" customHeight="1" outlineLevel="1" x14ac:dyDescent="0.35">
      <c r="B461" s="909" t="s">
        <v>227</v>
      </c>
      <c r="C461" s="909"/>
      <c r="D461" s="909"/>
      <c r="E461" s="146">
        <v>3000000</v>
      </c>
      <c r="F461" s="779" t="s">
        <v>226</v>
      </c>
      <c r="G461" s="780"/>
      <c r="H461" s="145" t="s">
        <v>3</v>
      </c>
      <c r="I461" s="144"/>
      <c r="J461" s="11"/>
      <c r="K461" s="11"/>
      <c r="M461" s="11"/>
      <c r="N461" s="11"/>
      <c r="O461" s="11"/>
      <c r="P461" s="11"/>
      <c r="Q461" s="11"/>
      <c r="R461" s="11"/>
      <c r="S461" s="11"/>
      <c r="T461" s="11"/>
      <c r="U461" s="11"/>
      <c r="V461" s="11"/>
      <c r="W461" s="11"/>
      <c r="X461" s="11"/>
      <c r="Y461" s="11"/>
      <c r="Z461" s="11"/>
      <c r="AA461" s="11"/>
      <c r="AB461" s="11"/>
      <c r="AC461" s="11"/>
      <c r="AD461" s="11"/>
    </row>
    <row r="462" spans="1:30" ht="15" customHeight="1" collapsed="1" x14ac:dyDescent="0.35"/>
    <row r="463" spans="1:30" ht="25.05" customHeight="1" x14ac:dyDescent="0.35">
      <c r="A463" s="9"/>
      <c r="B463" s="693" t="s">
        <v>225</v>
      </c>
      <c r="C463" s="694"/>
      <c r="D463" s="694"/>
      <c r="E463" s="694"/>
      <c r="F463" s="694"/>
      <c r="G463" s="694"/>
      <c r="H463" s="695"/>
      <c r="I463" s="699" t="s">
        <v>224</v>
      </c>
      <c r="J463" s="705">
        <f>(L474+L483+L491+L499+L507+L515+L523+L531+L539)/9</f>
        <v>0.59272411616161624</v>
      </c>
      <c r="K463" s="1"/>
      <c r="L463" s="1"/>
      <c r="M463" s="1"/>
      <c r="N463" s="1"/>
      <c r="O463" s="1"/>
      <c r="P463" s="1"/>
    </row>
    <row r="464" spans="1:30" ht="25.05" customHeight="1" x14ac:dyDescent="0.35">
      <c r="A464" s="9"/>
      <c r="B464" s="696"/>
      <c r="C464" s="697"/>
      <c r="D464" s="697"/>
      <c r="E464" s="697"/>
      <c r="F464" s="697"/>
      <c r="G464" s="697"/>
      <c r="H464" s="698"/>
      <c r="I464" s="700"/>
      <c r="J464" s="706"/>
      <c r="K464" s="1"/>
      <c r="L464" s="1"/>
      <c r="M464" s="1"/>
      <c r="N464" s="1"/>
      <c r="O464" s="1"/>
      <c r="P464" s="1"/>
    </row>
    <row r="465" spans="1:25" ht="175.5" hidden="1" customHeight="1" outlineLevel="1" x14ac:dyDescent="0.35">
      <c r="A465" s="9"/>
      <c r="B465" s="528" t="s">
        <v>223</v>
      </c>
      <c r="C465" s="527"/>
      <c r="D465" s="527"/>
      <c r="E465" s="527"/>
      <c r="F465" s="527"/>
      <c r="G465" s="527"/>
      <c r="H465" s="527"/>
      <c r="I465" s="527"/>
      <c r="J465" s="565"/>
      <c r="K465" s="1"/>
      <c r="L465" s="1"/>
      <c r="M465" s="1"/>
      <c r="N465" s="1"/>
      <c r="O465" s="1"/>
      <c r="P465" s="1"/>
    </row>
    <row r="466" spans="1:25" ht="25.05" hidden="1" customHeight="1" outlineLevel="1" x14ac:dyDescent="0.35">
      <c r="A466" s="10"/>
      <c r="B466" s="636" t="s">
        <v>222</v>
      </c>
      <c r="C466" s="637"/>
      <c r="D466" s="637"/>
      <c r="E466" s="637"/>
      <c r="F466" s="637"/>
      <c r="G466" s="637"/>
      <c r="H466" s="637"/>
      <c r="I466" s="637"/>
      <c r="J466" s="638"/>
      <c r="K466" s="1"/>
      <c r="L466" s="1"/>
      <c r="M466" s="1"/>
      <c r="N466" s="6"/>
      <c r="O466" s="6"/>
    </row>
    <row r="467" spans="1:25" ht="30" hidden="1" customHeight="1" outlineLevel="1" x14ac:dyDescent="0.35">
      <c r="A467" s="9"/>
      <c r="B467" s="785" t="s">
        <v>691</v>
      </c>
      <c r="C467" s="786"/>
      <c r="D467" s="787"/>
      <c r="E467" s="707" t="s">
        <v>221</v>
      </c>
      <c r="F467" s="708"/>
      <c r="G467" s="708"/>
      <c r="H467" s="708"/>
      <c r="I467" s="708"/>
      <c r="J467" s="708"/>
      <c r="K467" s="709"/>
      <c r="L467" s="677" t="s">
        <v>220</v>
      </c>
      <c r="M467" s="876" t="s">
        <v>5</v>
      </c>
      <c r="N467" s="877"/>
    </row>
    <row r="468" spans="1:25" ht="60" hidden="1" customHeight="1" outlineLevel="1" x14ac:dyDescent="0.35">
      <c r="A468" s="9"/>
      <c r="B468" s="707" t="s">
        <v>157</v>
      </c>
      <c r="C468" s="788"/>
      <c r="D468" s="344" t="s">
        <v>156</v>
      </c>
      <c r="E468" s="344" t="s">
        <v>155</v>
      </c>
      <c r="F468" s="345" t="s">
        <v>154</v>
      </c>
      <c r="G468" s="345" t="s">
        <v>219</v>
      </c>
      <c r="H468" s="345" t="s">
        <v>218</v>
      </c>
      <c r="I468" s="345" t="s">
        <v>217</v>
      </c>
      <c r="J468" s="345" t="s">
        <v>216</v>
      </c>
      <c r="K468" s="364" t="s">
        <v>215</v>
      </c>
      <c r="L468" s="678"/>
      <c r="M468" s="878"/>
      <c r="N468" s="879"/>
    </row>
    <row r="469" spans="1:25" ht="19.95" hidden="1" customHeight="1" outlineLevel="1" x14ac:dyDescent="0.35">
      <c r="A469" s="9"/>
      <c r="B469" s="789" t="s">
        <v>214</v>
      </c>
      <c r="C469" s="790"/>
      <c r="D469" s="143">
        <v>200000</v>
      </c>
      <c r="E469" s="143">
        <v>300</v>
      </c>
      <c r="F469" s="136" t="s">
        <v>3</v>
      </c>
      <c r="G469" s="136" t="s">
        <v>4</v>
      </c>
      <c r="H469" s="136" t="s">
        <v>3</v>
      </c>
      <c r="I469" s="136" t="s">
        <v>3</v>
      </c>
      <c r="J469" s="136" t="s">
        <v>3</v>
      </c>
      <c r="K469" s="142" t="s">
        <v>3</v>
      </c>
      <c r="L469" s="135">
        <f>IF(AND(F469="Yes",G469="Yes",H469="Yes",I469&lt;&gt;"Yes",J469&lt;&gt;"Yes",K469&lt;&gt;"Yes"),0.25,IF(AND(F469="Yes",G469="Yes",H469="Yes",I469="Yes",J469&lt;&gt;"Yes",K469&lt;&gt;"Yes"),0.5,IF(AND(F469="Yes",G469="Yes",H469="Yes",I469="Yes",J469="Yes",K469&lt;&gt;"Yes"),0.75,IF(AND(F469="Yes",G469="Yes",H469="Yes",I469="Yes",J469="Yes",K469="Yes"),1,0))))</f>
        <v>0</v>
      </c>
      <c r="M469" s="898"/>
      <c r="N469" s="691"/>
    </row>
    <row r="470" spans="1:25" ht="19.95" hidden="1" customHeight="1" outlineLevel="1" x14ac:dyDescent="0.35">
      <c r="A470" s="9"/>
      <c r="B470" s="810" t="s">
        <v>213</v>
      </c>
      <c r="C470" s="811"/>
      <c r="D470" s="139">
        <v>500000</v>
      </c>
      <c r="E470" s="139">
        <v>100</v>
      </c>
      <c r="F470" s="134" t="s">
        <v>4</v>
      </c>
      <c r="G470" s="134" t="s">
        <v>3</v>
      </c>
      <c r="H470" s="134" t="s">
        <v>3</v>
      </c>
      <c r="I470" s="134" t="s">
        <v>3</v>
      </c>
      <c r="J470" s="134" t="s">
        <v>3</v>
      </c>
      <c r="K470" s="141" t="s">
        <v>3</v>
      </c>
      <c r="L470" s="133">
        <f>IF(AND(F470="Yes",G470="Yes",H470="Yes",I470&lt;&gt;"Yes",J470&lt;&gt;"Yes",K470&lt;&gt;"Yes"),0.25,IF(AND(F470="Yes",G470="Yes",H470="Yes",I470="Yes",J470&lt;&gt;"Yes",K470&lt;&gt;"Yes"),0.5,IF(AND(F470="Yes",G470="Yes",H470="Yes",I470="Yes",J470="Yes",K470&lt;&gt;"Yes"),0.75,IF(AND(F470="Yes",G470="Yes",H470="Yes",I470="Yes",J470="Yes",K470="Yes"),1,0))))</f>
        <v>0</v>
      </c>
      <c r="M470" s="778"/>
      <c r="N470" s="689"/>
    </row>
    <row r="471" spans="1:25" ht="19.95" hidden="1" customHeight="1" outlineLevel="1" x14ac:dyDescent="0.35">
      <c r="A471" s="9"/>
      <c r="B471" s="810" t="s">
        <v>212</v>
      </c>
      <c r="C471" s="811"/>
      <c r="D471" s="139">
        <v>40000</v>
      </c>
      <c r="E471" s="139">
        <v>250</v>
      </c>
      <c r="F471" s="134"/>
      <c r="G471" s="134"/>
      <c r="H471" s="134"/>
      <c r="I471" s="134"/>
      <c r="J471" s="134"/>
      <c r="K471" s="141"/>
      <c r="L471" s="133">
        <f>IF(AND(F471="Yes",G471="Yes",H471="Yes",I471&lt;&gt;"Yes",J471&lt;&gt;"Yes",K471&lt;&gt;"Yes"),0.25,IF(AND(F471="Yes",G471="Yes",H471="Yes",I471="Yes",J471&lt;&gt;"Yes",K471&lt;&gt;"Yes"),0.5,IF(AND(F471="Yes",G471="Yes",H471="Yes",I471="Yes",J471="Yes",K471&lt;&gt;"Yes"),0.75,IF(AND(F471="Yes",G471="Yes",H471="Yes",I471="Yes",J471="Yes",K471="Yes"),1,0))))</f>
        <v>0</v>
      </c>
      <c r="M471" s="778"/>
      <c r="N471" s="689"/>
    </row>
    <row r="472" spans="1:25" ht="19.95" hidden="1" customHeight="1" outlineLevel="1" x14ac:dyDescent="0.35">
      <c r="A472" s="9"/>
      <c r="B472" s="810" t="s">
        <v>211</v>
      </c>
      <c r="C472" s="811"/>
      <c r="D472" s="139">
        <v>1000000</v>
      </c>
      <c r="E472" s="139">
        <v>365</v>
      </c>
      <c r="F472" s="134" t="s">
        <v>3</v>
      </c>
      <c r="G472" s="134" t="s">
        <v>3</v>
      </c>
      <c r="H472" s="134" t="s">
        <v>3</v>
      </c>
      <c r="I472" s="134" t="s">
        <v>3</v>
      </c>
      <c r="J472" s="134" t="s">
        <v>3</v>
      </c>
      <c r="K472" s="141" t="s">
        <v>3</v>
      </c>
      <c r="L472" s="133">
        <f>IF(AND(F472="Yes",G472="Yes",H472="Yes",I472&lt;&gt;"Yes",J472&lt;&gt;"Yes",K472&lt;&gt;"Yes"),0.25,IF(AND(F472="Yes",G472="Yes",H472="Yes",I472="Yes",J472&lt;&gt;"Yes",K472&lt;&gt;"Yes"),0.5,IF(AND(F472="Yes",G472="Yes",H472="Yes",I472="Yes",J472="Yes",K472&lt;&gt;"Yes"),0.75,IF(AND(F472="Yes",G472="Yes",H472="Yes",I472="Yes",J472="Yes",K472="Yes"),1,0))))</f>
        <v>1</v>
      </c>
      <c r="M472" s="778"/>
      <c r="N472" s="689"/>
    </row>
    <row r="473" spans="1:25" ht="19.95" hidden="1" customHeight="1" outlineLevel="1" x14ac:dyDescent="0.35">
      <c r="A473" s="733"/>
      <c r="B473" s="783" t="s">
        <v>210</v>
      </c>
      <c r="C473" s="784"/>
      <c r="D473" s="140">
        <v>600000</v>
      </c>
      <c r="E473" s="139">
        <v>365</v>
      </c>
      <c r="F473" s="130" t="s">
        <v>3</v>
      </c>
      <c r="G473" s="130" t="s">
        <v>4</v>
      </c>
      <c r="H473" s="130" t="s">
        <v>3</v>
      </c>
      <c r="I473" s="130" t="s">
        <v>3</v>
      </c>
      <c r="J473" s="130" t="s">
        <v>3</v>
      </c>
      <c r="K473" s="138" t="s">
        <v>3</v>
      </c>
      <c r="L473" s="129">
        <f>IF(AND(F473="Yes",G473="Yes",H473="Yes",I473&lt;&gt;"Yes",J473&lt;&gt;"Yes",K473&lt;&gt;"Yes"),0.25,IF(AND(F473="Yes",G473="Yes",H473="Yes",I473="Yes",J473&lt;&gt;"Yes",K473&lt;&gt;"Yes"),0.5,IF(AND(F473="Yes",G473="Yes",H473="Yes",I473="Yes",J473="Yes",K473&lt;&gt;"Yes"),0.75,IF(AND(F473="Yes",G473="Yes",H473="Yes",I473="Yes",J473="Yes",K473="Yes"),1,0))))</f>
        <v>0</v>
      </c>
      <c r="M473" s="899"/>
      <c r="N473" s="753"/>
    </row>
    <row r="474" spans="1:25" s="1" customFormat="1" ht="19.95" hidden="1" customHeight="1" outlineLevel="1" x14ac:dyDescent="0.35">
      <c r="A474" s="733"/>
      <c r="B474" s="127" t="s">
        <v>148</v>
      </c>
      <c r="C474" s="126"/>
      <c r="D474" s="125">
        <f>SUM(D469:D473)</f>
        <v>2340000</v>
      </c>
      <c r="E474" s="11"/>
      <c r="F474" s="11"/>
      <c r="G474" s="11"/>
      <c r="H474" s="11"/>
      <c r="I474" s="11"/>
      <c r="J474" s="11"/>
      <c r="K474" s="11"/>
      <c r="L474" s="124">
        <f>IF(D474=0,1,IF(COUNTIF(D469:D473,"&gt;0")=0,"",SUMPRODUCT(D469:D473,E469:E473,L469:L473)/SUMPRODUCT(D469:D473,E469:E473)))</f>
        <v>0.51846590909090906</v>
      </c>
      <c r="M474" s="11"/>
      <c r="N474" s="11"/>
      <c r="R474" s="4"/>
      <c r="S474" s="4"/>
      <c r="T474" s="4"/>
      <c r="U474" s="4"/>
      <c r="V474" s="4"/>
      <c r="X474" s="4"/>
      <c r="Y474" s="4"/>
    </row>
    <row r="475" spans="1:25" s="1" customFormat="1" ht="19.95" hidden="1" customHeight="1" outlineLevel="1" x14ac:dyDescent="0.35">
      <c r="A475" s="733"/>
      <c r="B475" s="900" t="s">
        <v>209</v>
      </c>
      <c r="C475" s="901"/>
      <c r="D475" s="901"/>
      <c r="E475" s="901"/>
      <c r="F475" s="901"/>
      <c r="G475" s="901"/>
      <c r="H475" s="11"/>
      <c r="I475" s="11"/>
      <c r="J475" s="11"/>
      <c r="K475" s="11"/>
      <c r="L475" s="11"/>
      <c r="M475" s="11"/>
      <c r="N475" s="11"/>
      <c r="R475" s="4"/>
      <c r="S475" s="4"/>
      <c r="T475" s="4"/>
      <c r="U475" s="4"/>
      <c r="V475" s="4"/>
      <c r="X475" s="4"/>
      <c r="Y475" s="4"/>
    </row>
    <row r="476" spans="1:25" ht="30" hidden="1" customHeight="1" outlineLevel="1" x14ac:dyDescent="0.35">
      <c r="A476" s="9"/>
      <c r="B476" s="785" t="s">
        <v>692</v>
      </c>
      <c r="C476" s="786"/>
      <c r="D476" s="787"/>
      <c r="E476" s="707" t="s">
        <v>208</v>
      </c>
      <c r="F476" s="708"/>
      <c r="G476" s="708"/>
      <c r="H476" s="708"/>
      <c r="I476" s="708"/>
      <c r="J476" s="708"/>
      <c r="K476" s="709"/>
      <c r="L476" s="677" t="s">
        <v>207</v>
      </c>
      <c r="M476" s="876" t="s">
        <v>5</v>
      </c>
      <c r="N476" s="877"/>
    </row>
    <row r="477" spans="1:25" ht="60" hidden="1" customHeight="1" outlineLevel="1" x14ac:dyDescent="0.35">
      <c r="A477" s="9"/>
      <c r="B477" s="707" t="s">
        <v>157</v>
      </c>
      <c r="C477" s="788"/>
      <c r="D477" s="344" t="s">
        <v>156</v>
      </c>
      <c r="E477" s="344" t="s">
        <v>155</v>
      </c>
      <c r="F477" s="344" t="s">
        <v>154</v>
      </c>
      <c r="G477" s="344" t="s">
        <v>206</v>
      </c>
      <c r="H477" s="344" t="s">
        <v>205</v>
      </c>
      <c r="I477" s="344" t="s">
        <v>204</v>
      </c>
      <c r="J477" s="344" t="s">
        <v>203</v>
      </c>
      <c r="K477" s="344" t="s">
        <v>202</v>
      </c>
      <c r="L477" s="678"/>
      <c r="M477" s="878"/>
      <c r="N477" s="879"/>
    </row>
    <row r="478" spans="1:25" ht="19.95" hidden="1" customHeight="1" outlineLevel="1" x14ac:dyDescent="0.35">
      <c r="A478" s="9"/>
      <c r="B478" s="803" t="str">
        <f>$B$469</f>
        <v>Term deposits</v>
      </c>
      <c r="C478" s="804"/>
      <c r="D478" s="137">
        <f>$D$469</f>
        <v>200000</v>
      </c>
      <c r="E478" s="137">
        <f>$E$469</f>
        <v>300</v>
      </c>
      <c r="F478" s="136" t="s">
        <v>3</v>
      </c>
      <c r="G478" s="136" t="s">
        <v>3</v>
      </c>
      <c r="H478" s="136" t="s">
        <v>3</v>
      </c>
      <c r="I478" s="136" t="s">
        <v>3</v>
      </c>
      <c r="J478" s="136" t="s">
        <v>3</v>
      </c>
      <c r="K478" s="136" t="s">
        <v>4</v>
      </c>
      <c r="L478" s="135">
        <f>IF(AND(F478="Yes",G478="Yes",H478="Yes",I478&lt;&gt;"Yes",J478&lt;&gt;"Yes",K478&lt;&gt;"Yes"),0.25,IF(AND(F478="Yes",G478="Yes",H478="Yes",I478="Yes",J478&lt;&gt;"Yes",K478&lt;&gt;"Yes"),0.5,IF(AND(F478="Yes",G478="Yes",H478="Yes",I478="Yes",J478="Yes",K478&lt;&gt;"Yes"),0.75,IF(AND(F478="Yes",G478="Yes",H478="Yes",I478="Yes",J478="Yes",K478="Yes"),1,0))))</f>
        <v>0.75</v>
      </c>
      <c r="M478" s="898"/>
      <c r="N478" s="691"/>
    </row>
    <row r="479" spans="1:25" ht="19.95" hidden="1" customHeight="1" outlineLevel="1" x14ac:dyDescent="0.35">
      <c r="A479" s="9"/>
      <c r="B479" s="730" t="str">
        <f>$B$470</f>
        <v>Energy sector stock</v>
      </c>
      <c r="C479" s="717" t="str">
        <f>IF('[2]Site information'!C418="","",'[2]Site information'!C418)</f>
        <v/>
      </c>
      <c r="D479" s="131">
        <f>$D$470</f>
        <v>500000</v>
      </c>
      <c r="E479" s="131">
        <f>$E$470</f>
        <v>100</v>
      </c>
      <c r="F479" s="134" t="s">
        <v>3</v>
      </c>
      <c r="G479" s="134" t="s">
        <v>3</v>
      </c>
      <c r="H479" s="134" t="s">
        <v>3</v>
      </c>
      <c r="I479" s="134" t="s">
        <v>3</v>
      </c>
      <c r="J479" s="134" t="s">
        <v>4</v>
      </c>
      <c r="K479" s="134"/>
      <c r="L479" s="133">
        <f>IF(AND(F479="Yes",G479="Yes",H479="Yes",I479&lt;&gt;"Yes",J479&lt;&gt;"Yes",K479&lt;&gt;"Yes"),0.25,IF(AND(F479="Yes",G479="Yes",H479="Yes",I479="Yes",J479&lt;&gt;"Yes",K479&lt;&gt;"Yes"),0.5,IF(AND(F479="Yes",G479="Yes",H479="Yes",I479="Yes",J479="Yes",K479&lt;&gt;"Yes"),0.75,IF(AND(F479="Yes",G479="Yes",H479="Yes",I479="Yes",J479="Yes",K479="Yes"),1,0))))</f>
        <v>0.5</v>
      </c>
      <c r="M479" s="778"/>
      <c r="N479" s="689"/>
    </row>
    <row r="480" spans="1:25" ht="19.95" hidden="1" customHeight="1" outlineLevel="1" x14ac:dyDescent="0.35">
      <c r="A480" s="9"/>
      <c r="B480" s="730" t="str">
        <f>$B$471</f>
        <v>Financial sector stock</v>
      </c>
      <c r="C480" s="717" t="str">
        <f>IF('[2]Site information'!C419="","",'[2]Site information'!C419)</f>
        <v/>
      </c>
      <c r="D480" s="131">
        <f>$D$471</f>
        <v>40000</v>
      </c>
      <c r="E480" s="131">
        <f>$E$471</f>
        <v>250</v>
      </c>
      <c r="F480" s="134" t="s">
        <v>3</v>
      </c>
      <c r="G480" s="134" t="s">
        <v>3</v>
      </c>
      <c r="H480" s="134" t="s">
        <v>3</v>
      </c>
      <c r="I480" s="134" t="s">
        <v>4</v>
      </c>
      <c r="J480" s="134"/>
      <c r="K480" s="134"/>
      <c r="L480" s="133">
        <f>IF(AND(F480="Yes",G480="Yes",H480="Yes",I480&lt;&gt;"Yes",J480&lt;&gt;"Yes",K480&lt;&gt;"Yes"),0.25,IF(AND(F480="Yes",G480="Yes",H480="Yes",I480="Yes",J480&lt;&gt;"Yes",K480&lt;&gt;"Yes"),0.5,IF(AND(F480="Yes",G480="Yes",H480="Yes",I480="Yes",J480="Yes",K480&lt;&gt;"Yes"),0.75,IF(AND(F480="Yes",G480="Yes",H480="Yes",I480="Yes",J480="Yes",K480="Yes"),1,0))))</f>
        <v>0.25</v>
      </c>
      <c r="M480" s="778"/>
      <c r="N480" s="689"/>
    </row>
    <row r="481" spans="1:25" ht="19.95" hidden="1" customHeight="1" outlineLevel="1" x14ac:dyDescent="0.35">
      <c r="A481" s="9"/>
      <c r="B481" s="730" t="str">
        <f>$B$472</f>
        <v>Corporate bonds</v>
      </c>
      <c r="C481" s="717"/>
      <c r="D481" s="131">
        <f>$D$472</f>
        <v>1000000</v>
      </c>
      <c r="E481" s="131">
        <f>$E$472</f>
        <v>365</v>
      </c>
      <c r="F481" s="134" t="s">
        <v>3</v>
      </c>
      <c r="G481" s="134" t="s">
        <v>3</v>
      </c>
      <c r="H481" s="134" t="s">
        <v>4</v>
      </c>
      <c r="I481" s="134"/>
      <c r="J481" s="134"/>
      <c r="K481" s="134"/>
      <c r="L481" s="133">
        <f>IF(AND(F481="Yes",G481="Yes",H481="Yes",I481&lt;&gt;"Yes",J481&lt;&gt;"Yes",K481&lt;&gt;"Yes"),0.25,IF(AND(F481="Yes",G481="Yes",H481="Yes",I481="Yes",J481&lt;&gt;"Yes",K481&lt;&gt;"Yes"),0.5,IF(AND(F481="Yes",G481="Yes",H481="Yes",I481="Yes",J481="Yes",K481&lt;&gt;"Yes"),0.75,IF(AND(F481="Yes",G481="Yes",H481="Yes",I481="Yes",J481="Yes",K481="Yes"),1,0))))</f>
        <v>0</v>
      </c>
      <c r="M481" s="778"/>
      <c r="N481" s="689"/>
    </row>
    <row r="482" spans="1:25" ht="19.95" hidden="1" customHeight="1" outlineLevel="1" x14ac:dyDescent="0.35">
      <c r="A482" s="128"/>
      <c r="B482" s="730" t="str">
        <f>$B$473</f>
        <v>Company's own stock</v>
      </c>
      <c r="C482" s="717"/>
      <c r="D482" s="132">
        <f>$D$473</f>
        <v>600000</v>
      </c>
      <c r="E482" s="131">
        <f>$E$473</f>
        <v>365</v>
      </c>
      <c r="F482" s="130" t="s">
        <v>3</v>
      </c>
      <c r="G482" s="130" t="s">
        <v>4</v>
      </c>
      <c r="H482" s="130"/>
      <c r="I482" s="130"/>
      <c r="J482" s="130"/>
      <c r="K482" s="130"/>
      <c r="L482" s="129">
        <f>IF(AND(F482="Yes",G482="Yes",H482="Yes",I482&lt;&gt;"Yes",J482&lt;&gt;"Yes",K482&lt;&gt;"Yes"),0.25,IF(AND(F482="Yes",G482="Yes",H482="Yes",I482="Yes",J482&lt;&gt;"Yes",K482&lt;&gt;"Yes"),0.5,IF(AND(F482="Yes",G482="Yes",H482="Yes",I482="Yes",J482="Yes",K482&lt;&gt;"Yes"),0.75,IF(AND(F482="Yes",G482="Yes",H482="Yes",I482="Yes",J482="Yes",K482="Yes"),1,0))))</f>
        <v>0</v>
      </c>
      <c r="M482" s="899"/>
      <c r="N482" s="753"/>
    </row>
    <row r="483" spans="1:25" s="1" customFormat="1" ht="19.95" hidden="1" customHeight="1" outlineLevel="1" x14ac:dyDescent="0.35">
      <c r="A483" s="128"/>
      <c r="B483" s="127" t="s">
        <v>148</v>
      </c>
      <c r="C483" s="126"/>
      <c r="D483" s="125">
        <f>SUM(D478:D482)</f>
        <v>2340000</v>
      </c>
      <c r="E483" s="11"/>
      <c r="F483" s="11"/>
      <c r="G483" s="11"/>
      <c r="H483" s="11"/>
      <c r="I483" s="11"/>
      <c r="J483" s="11"/>
      <c r="K483" s="11"/>
      <c r="L483" s="124">
        <f>IF(D483=0,1,IF(COUNTIF(D478:D482,"&gt;0")=0,"",SUMPRODUCT(D478:D482,E478:E482,L478:L482)/SUMPRODUCT(D478:D482,E478:E482)))</f>
        <v>0.10298295454545454</v>
      </c>
      <c r="M483" s="11"/>
      <c r="N483" s="11"/>
      <c r="R483" s="4"/>
      <c r="S483" s="4"/>
      <c r="T483" s="4"/>
      <c r="U483" s="4"/>
      <c r="V483" s="4"/>
      <c r="X483" s="4"/>
      <c r="Y483" s="4"/>
    </row>
    <row r="484" spans="1:25" ht="30" hidden="1" customHeight="1" outlineLevel="1" x14ac:dyDescent="0.35">
      <c r="A484" s="9"/>
      <c r="B484" s="785" t="s">
        <v>693</v>
      </c>
      <c r="C484" s="786"/>
      <c r="D484" s="787"/>
      <c r="E484" s="707" t="s">
        <v>201</v>
      </c>
      <c r="F484" s="708"/>
      <c r="G484" s="708"/>
      <c r="H484" s="708"/>
      <c r="I484" s="708"/>
      <c r="J484" s="708"/>
      <c r="K484" s="709"/>
      <c r="L484" s="677" t="s">
        <v>200</v>
      </c>
      <c r="M484" s="876" t="s">
        <v>5</v>
      </c>
      <c r="N484" s="877"/>
    </row>
    <row r="485" spans="1:25" ht="60" hidden="1" customHeight="1" outlineLevel="1" x14ac:dyDescent="0.35">
      <c r="A485" s="9"/>
      <c r="B485" s="707" t="s">
        <v>157</v>
      </c>
      <c r="C485" s="788"/>
      <c r="D485" s="344" t="s">
        <v>156</v>
      </c>
      <c r="E485" s="344" t="s">
        <v>155</v>
      </c>
      <c r="F485" s="344" t="s">
        <v>154</v>
      </c>
      <c r="G485" s="344" t="s">
        <v>199</v>
      </c>
      <c r="H485" s="344" t="s">
        <v>198</v>
      </c>
      <c r="I485" s="344" t="s">
        <v>197</v>
      </c>
      <c r="J485" s="344" t="s">
        <v>196</v>
      </c>
      <c r="K485" s="344" t="s">
        <v>195</v>
      </c>
      <c r="L485" s="678"/>
      <c r="M485" s="878"/>
      <c r="N485" s="879"/>
    </row>
    <row r="486" spans="1:25" ht="19.95" hidden="1" customHeight="1" outlineLevel="1" x14ac:dyDescent="0.35">
      <c r="A486" s="9"/>
      <c r="B486" s="803" t="str">
        <f>$B$469</f>
        <v>Term deposits</v>
      </c>
      <c r="C486" s="804"/>
      <c r="D486" s="137">
        <f>$D$469</f>
        <v>200000</v>
      </c>
      <c r="E486" s="137">
        <f>$E$469</f>
        <v>300</v>
      </c>
      <c r="F486" s="136" t="s">
        <v>3</v>
      </c>
      <c r="G486" s="136" t="s">
        <v>3</v>
      </c>
      <c r="H486" s="136" t="s">
        <v>3</v>
      </c>
      <c r="I486" s="136" t="s">
        <v>3</v>
      </c>
      <c r="J486" s="136" t="s">
        <v>3</v>
      </c>
      <c r="K486" s="136" t="s">
        <v>3</v>
      </c>
      <c r="L486" s="135">
        <f>IF(AND(F486="Yes",G486="Yes",H486="Yes",I486&lt;&gt;"Yes",J486&lt;&gt;"Yes",K486&lt;&gt;"Yes"),0.25,IF(AND(F486="Yes",G486="Yes",H486="Yes",I486="Yes",J486&lt;&gt;"Yes",K486&lt;&gt;"Yes"),0.5,IF(AND(F486="Yes",G486="Yes",H486="Yes",I486="Yes",J486="Yes",K486&lt;&gt;"Yes"),0.75,IF(AND(F486="Yes",G486="Yes",H486="Yes",I486="Yes",J486="Yes",K486="Yes"),1,0))))</f>
        <v>1</v>
      </c>
      <c r="M486" s="898"/>
      <c r="N486" s="691"/>
    </row>
    <row r="487" spans="1:25" ht="19.95" hidden="1" customHeight="1" outlineLevel="1" x14ac:dyDescent="0.35">
      <c r="A487" s="9"/>
      <c r="B487" s="730" t="str">
        <f>$B$470</f>
        <v>Energy sector stock</v>
      </c>
      <c r="C487" s="717" t="str">
        <f>IF('[2]Site information'!C426="","",'[2]Site information'!C426)</f>
        <v/>
      </c>
      <c r="D487" s="131">
        <f>$D$470</f>
        <v>500000</v>
      </c>
      <c r="E487" s="131">
        <f>$E$470</f>
        <v>100</v>
      </c>
      <c r="F487" s="134" t="s">
        <v>3</v>
      </c>
      <c r="G487" s="134" t="s">
        <v>3</v>
      </c>
      <c r="H487" s="134" t="s">
        <v>3</v>
      </c>
      <c r="I487" s="134" t="s">
        <v>3</v>
      </c>
      <c r="J487" s="134" t="s">
        <v>4</v>
      </c>
      <c r="K487" s="134"/>
      <c r="L487" s="133">
        <f>IF(AND(F487="Yes",G487="Yes",H487="Yes",I487&lt;&gt;"Yes",J487&lt;&gt;"Yes",K487&lt;&gt;"Yes"),0.25,IF(AND(F487="Yes",G487="Yes",H487="Yes",I487="Yes",J487&lt;&gt;"Yes",K487&lt;&gt;"Yes"),0.5,IF(AND(F487="Yes",G487="Yes",H487="Yes",I487="Yes",J487="Yes",K487&lt;&gt;"Yes"),0.75,IF(AND(F487="Yes",G487="Yes",H487="Yes",I487="Yes",J487="Yes",K487="Yes"),1,0))))</f>
        <v>0.5</v>
      </c>
      <c r="M487" s="778"/>
      <c r="N487" s="689"/>
    </row>
    <row r="488" spans="1:25" ht="19.95" hidden="1" customHeight="1" outlineLevel="1" x14ac:dyDescent="0.35">
      <c r="A488" s="9"/>
      <c r="B488" s="730" t="str">
        <f>$B$471</f>
        <v>Financial sector stock</v>
      </c>
      <c r="C488" s="717" t="str">
        <f>IF('[2]Site information'!C427="","",'[2]Site information'!C427)</f>
        <v/>
      </c>
      <c r="D488" s="131">
        <f>$D$471</f>
        <v>40000</v>
      </c>
      <c r="E488" s="131">
        <f>$E$471</f>
        <v>250</v>
      </c>
      <c r="F488" s="134" t="s">
        <v>3</v>
      </c>
      <c r="G488" s="134" t="s">
        <v>3</v>
      </c>
      <c r="H488" s="134" t="s">
        <v>3</v>
      </c>
      <c r="I488" s="134" t="s">
        <v>4</v>
      </c>
      <c r="J488" s="134"/>
      <c r="K488" s="134"/>
      <c r="L488" s="133">
        <f>IF(AND(F488="Yes",G488="Yes",H488="Yes",I488&lt;&gt;"Yes",J488&lt;&gt;"Yes",K488&lt;&gt;"Yes"),0.25,IF(AND(F488="Yes",G488="Yes",H488="Yes",I488="Yes",J488&lt;&gt;"Yes",K488&lt;&gt;"Yes"),0.5,IF(AND(F488="Yes",G488="Yes",H488="Yes",I488="Yes",J488="Yes",K488&lt;&gt;"Yes"),0.75,IF(AND(F488="Yes",G488="Yes",H488="Yes",I488="Yes",J488="Yes",K488="Yes"),1,0))))</f>
        <v>0.25</v>
      </c>
      <c r="M488" s="778"/>
      <c r="N488" s="689"/>
    </row>
    <row r="489" spans="1:25" ht="19.95" hidden="1" customHeight="1" outlineLevel="1" x14ac:dyDescent="0.35">
      <c r="A489" s="9"/>
      <c r="B489" s="730" t="str">
        <f>$B$472</f>
        <v>Corporate bonds</v>
      </c>
      <c r="C489" s="717"/>
      <c r="D489" s="131">
        <f>$D$472</f>
        <v>1000000</v>
      </c>
      <c r="E489" s="131">
        <f>$E$472</f>
        <v>365</v>
      </c>
      <c r="F489" s="134" t="s">
        <v>3</v>
      </c>
      <c r="G489" s="134" t="s">
        <v>3</v>
      </c>
      <c r="H489" s="134" t="s">
        <v>3</v>
      </c>
      <c r="I489" s="134" t="s">
        <v>3</v>
      </c>
      <c r="J489" s="134" t="s">
        <v>3</v>
      </c>
      <c r="K489" s="134" t="s">
        <v>3</v>
      </c>
      <c r="L489" s="133">
        <f>IF(AND(F489="Yes",G489="Yes",H489="Yes",I489&lt;&gt;"Yes",J489&lt;&gt;"Yes",K489&lt;&gt;"Yes"),0.25,IF(AND(F489="Yes",G489="Yes",H489="Yes",I489="Yes",J489&lt;&gt;"Yes",K489&lt;&gt;"Yes"),0.5,IF(AND(F489="Yes",G489="Yes",H489="Yes",I489="Yes",J489="Yes",K489&lt;&gt;"Yes"),0.75,IF(AND(F489="Yes",G489="Yes",H489="Yes",I489="Yes",J489="Yes",K489="Yes"),1,0))))</f>
        <v>1</v>
      </c>
      <c r="M489" s="778"/>
      <c r="N489" s="689"/>
    </row>
    <row r="490" spans="1:25" ht="19.95" hidden="1" customHeight="1" outlineLevel="1" x14ac:dyDescent="0.35">
      <c r="A490" s="128"/>
      <c r="B490" s="730" t="str">
        <f>$B$473</f>
        <v>Company's own stock</v>
      </c>
      <c r="C490" s="717"/>
      <c r="D490" s="132">
        <f>$D$473</f>
        <v>600000</v>
      </c>
      <c r="E490" s="131">
        <f>$E$473</f>
        <v>365</v>
      </c>
      <c r="F490" s="130" t="s">
        <v>4</v>
      </c>
      <c r="G490" s="130"/>
      <c r="H490" s="130"/>
      <c r="I490" s="130"/>
      <c r="J490" s="130"/>
      <c r="K490" s="130"/>
      <c r="L490" s="129" t="b">
        <v>1</v>
      </c>
      <c r="M490" s="899" t="b">
        <v>0</v>
      </c>
      <c r="N490" s="753" t="b">
        <v>1</v>
      </c>
    </row>
    <row r="491" spans="1:25" s="1" customFormat="1" ht="19.95" hidden="1" customHeight="1" outlineLevel="1" x14ac:dyDescent="0.35">
      <c r="A491" s="128"/>
      <c r="B491" s="127" t="s">
        <v>148</v>
      </c>
      <c r="C491" s="126"/>
      <c r="D491" s="125">
        <f>SUM(D486:D490)</f>
        <v>2340000</v>
      </c>
      <c r="E491" s="11"/>
      <c r="F491" s="11"/>
      <c r="G491" s="11"/>
      <c r="H491" s="11"/>
      <c r="I491" s="11"/>
      <c r="J491" s="11"/>
      <c r="K491" s="11"/>
      <c r="L491" s="124" t="b">
        <v>0</v>
      </c>
      <c r="M491" s="11" t="b">
        <v>1</v>
      </c>
      <c r="N491" s="11" t="b">
        <v>0</v>
      </c>
      <c r="R491" s="4"/>
      <c r="S491" s="4"/>
      <c r="T491" s="4"/>
      <c r="U491" s="4"/>
      <c r="V491" s="4"/>
      <c r="X491" s="4"/>
      <c r="Y491" s="4"/>
    </row>
    <row r="492" spans="1:25" ht="30" hidden="1" customHeight="1" outlineLevel="1" x14ac:dyDescent="0.35">
      <c r="A492" s="9"/>
      <c r="B492" s="785" t="s">
        <v>694</v>
      </c>
      <c r="C492" s="786"/>
      <c r="D492" s="787"/>
      <c r="E492" s="707" t="s">
        <v>194</v>
      </c>
      <c r="F492" s="708"/>
      <c r="G492" s="708"/>
      <c r="H492" s="708"/>
      <c r="I492" s="708"/>
      <c r="J492" s="708"/>
      <c r="K492" s="709"/>
      <c r="L492" s="677" t="s">
        <v>193</v>
      </c>
      <c r="M492" s="876" t="s">
        <v>5</v>
      </c>
      <c r="N492" s="877" t="b">
        <v>1</v>
      </c>
    </row>
    <row r="493" spans="1:25" ht="60" hidden="1" customHeight="1" outlineLevel="1" x14ac:dyDescent="0.35">
      <c r="A493" s="9"/>
      <c r="B493" s="707" t="s">
        <v>157</v>
      </c>
      <c r="C493" s="788"/>
      <c r="D493" s="344" t="s">
        <v>156</v>
      </c>
      <c r="E493" s="344" t="s">
        <v>155</v>
      </c>
      <c r="F493" s="344" t="s">
        <v>154</v>
      </c>
      <c r="G493" s="344" t="s">
        <v>192</v>
      </c>
      <c r="H493" s="344" t="s">
        <v>191</v>
      </c>
      <c r="I493" s="344" t="s">
        <v>190</v>
      </c>
      <c r="J493" s="344" t="s">
        <v>189</v>
      </c>
      <c r="K493" s="344" t="s">
        <v>188</v>
      </c>
      <c r="L493" s="678" t="b">
        <v>1</v>
      </c>
      <c r="M493" s="878" t="b">
        <v>1</v>
      </c>
      <c r="N493" s="879" t="b">
        <v>1</v>
      </c>
    </row>
    <row r="494" spans="1:25" ht="19.95" hidden="1" customHeight="1" outlineLevel="1" x14ac:dyDescent="0.35">
      <c r="A494" s="9"/>
      <c r="B494" s="803" t="str">
        <f>$B$469</f>
        <v>Term deposits</v>
      </c>
      <c r="C494" s="804"/>
      <c r="D494" s="137">
        <f>$D$469</f>
        <v>200000</v>
      </c>
      <c r="E494" s="137">
        <f>$E$469</f>
        <v>300</v>
      </c>
      <c r="F494" s="136" t="s">
        <v>3</v>
      </c>
      <c r="G494" s="136" t="s">
        <v>3</v>
      </c>
      <c r="H494" s="136" t="s">
        <v>4</v>
      </c>
      <c r="I494" s="136"/>
      <c r="J494" s="136"/>
      <c r="K494" s="136"/>
      <c r="L494" s="135">
        <f>IF(AND(F494="Yes",G494="Yes",H494="Yes",I494&lt;&gt;"Yes",J494&lt;&gt;"Yes",K494&lt;&gt;"Yes"),0.25,IF(AND(F494="Yes",G494="Yes",H494="Yes",I494="Yes",J494&lt;&gt;"Yes",K494&lt;&gt;"Yes"),0.5,IF(AND(F494="Yes",G494="Yes",H494="Yes",I494="Yes",J494="Yes",K494&lt;&gt;"Yes"),0.75,IF(AND(F494="Yes",G494="Yes",H494="Yes",I494="Yes",J494="Yes",K494="Yes"),1,0))))</f>
        <v>0</v>
      </c>
      <c r="M494" s="898"/>
      <c r="N494" s="691"/>
    </row>
    <row r="495" spans="1:25" ht="19.95" hidden="1" customHeight="1" outlineLevel="1" x14ac:dyDescent="0.35">
      <c r="A495" s="9"/>
      <c r="B495" s="730" t="str">
        <f>$B$470</f>
        <v>Energy sector stock</v>
      </c>
      <c r="C495" s="717" t="str">
        <f>IF('[2]Site information'!C434="","",'[2]Site information'!C434)</f>
        <v/>
      </c>
      <c r="D495" s="131">
        <f>$D$470</f>
        <v>500000</v>
      </c>
      <c r="E495" s="131">
        <f>$E$470</f>
        <v>100</v>
      </c>
      <c r="F495" s="134" t="s">
        <v>3</v>
      </c>
      <c r="G495" s="134" t="s">
        <v>3</v>
      </c>
      <c r="H495" s="134" t="s">
        <v>3</v>
      </c>
      <c r="I495" s="134" t="s">
        <v>3</v>
      </c>
      <c r="J495" s="134" t="s">
        <v>3</v>
      </c>
      <c r="K495" s="134" t="s">
        <v>3</v>
      </c>
      <c r="L495" s="133">
        <f>IF(AND(F495="Yes",G495="Yes",H495="Yes",I495&lt;&gt;"Yes",J495&lt;&gt;"Yes",K495&lt;&gt;"Yes"),0.25,IF(AND(F495="Yes",G495="Yes",H495="Yes",I495="Yes",J495&lt;&gt;"Yes",K495&lt;&gt;"Yes"),0.5,IF(AND(F495="Yes",G495="Yes",H495="Yes",I495="Yes",J495="Yes",K495&lt;&gt;"Yes"),0.75,IF(AND(F495="Yes",G495="Yes",H495="Yes",I495="Yes",J495="Yes",K495="Yes"),1,0))))</f>
        <v>1</v>
      </c>
      <c r="M495" s="778"/>
      <c r="N495" s="689"/>
    </row>
    <row r="496" spans="1:25" ht="19.95" hidden="1" customHeight="1" outlineLevel="1" x14ac:dyDescent="0.35">
      <c r="A496" s="9"/>
      <c r="B496" s="730" t="str">
        <f>$B$471</f>
        <v>Financial sector stock</v>
      </c>
      <c r="C496" s="717" t="str">
        <f>IF('[2]Site information'!C435="","",'[2]Site information'!C435)</f>
        <v/>
      </c>
      <c r="D496" s="131">
        <f>$D$471</f>
        <v>40000</v>
      </c>
      <c r="E496" s="131">
        <f>$E$471</f>
        <v>250</v>
      </c>
      <c r="F496" s="134" t="s">
        <v>3</v>
      </c>
      <c r="G496" s="134" t="s">
        <v>3</v>
      </c>
      <c r="H496" s="134" t="s">
        <v>3</v>
      </c>
      <c r="I496" s="134" t="s">
        <v>3</v>
      </c>
      <c r="J496" s="134" t="s">
        <v>4</v>
      </c>
      <c r="K496" s="134"/>
      <c r="L496" s="133">
        <f>IF(AND(F496="Yes",G496="Yes",H496="Yes",I496&lt;&gt;"Yes",J496&lt;&gt;"Yes",K496&lt;&gt;"Yes"),0.25,IF(AND(F496="Yes",G496="Yes",H496="Yes",I496="Yes",J496&lt;&gt;"Yes",K496&lt;&gt;"Yes"),0.5,IF(AND(F496="Yes",G496="Yes",H496="Yes",I496="Yes",J496="Yes",K496&lt;&gt;"Yes"),0.75,IF(AND(F496="Yes",G496="Yes",H496="Yes",I496="Yes",J496="Yes",K496="Yes"),1,0))))</f>
        <v>0.5</v>
      </c>
      <c r="M496" s="778"/>
      <c r="N496" s="689"/>
    </row>
    <row r="497" spans="1:25" ht="19.95" hidden="1" customHeight="1" outlineLevel="1" x14ac:dyDescent="0.35">
      <c r="A497" s="9"/>
      <c r="B497" s="730" t="str">
        <f>$B$472</f>
        <v>Corporate bonds</v>
      </c>
      <c r="C497" s="717"/>
      <c r="D497" s="131">
        <f>$D$472</f>
        <v>1000000</v>
      </c>
      <c r="E497" s="131">
        <f>$E$472</f>
        <v>365</v>
      </c>
      <c r="F497" s="134" t="s">
        <v>3</v>
      </c>
      <c r="G497" s="134" t="s">
        <v>3</v>
      </c>
      <c r="H497" s="134" t="s">
        <v>3</v>
      </c>
      <c r="I497" s="134" t="s">
        <v>3</v>
      </c>
      <c r="J497" s="134" t="s">
        <v>3</v>
      </c>
      <c r="K497" s="134" t="s">
        <v>4</v>
      </c>
      <c r="L497" s="133">
        <f>IF(AND(F497="Yes",G497="Yes",H497="Yes",I497&lt;&gt;"Yes",J497&lt;&gt;"Yes",K497&lt;&gt;"Yes"),0.25,IF(AND(F497="Yes",G497="Yes",H497="Yes",I497="Yes",J497&lt;&gt;"Yes",K497&lt;&gt;"Yes"),0.5,IF(AND(F497="Yes",G497="Yes",H497="Yes",I497="Yes",J497="Yes",K497&lt;&gt;"Yes"),0.75,IF(AND(F497="Yes",G497="Yes",H497="Yes",I497="Yes",J497="Yes",K497="Yes"),1,0))))</f>
        <v>0.75</v>
      </c>
      <c r="M497" s="778"/>
      <c r="N497" s="689"/>
    </row>
    <row r="498" spans="1:25" ht="19.95" hidden="1" customHeight="1" outlineLevel="1" x14ac:dyDescent="0.35">
      <c r="A498" s="128"/>
      <c r="B498" s="730" t="str">
        <f>$B$473</f>
        <v>Company's own stock</v>
      </c>
      <c r="C498" s="717"/>
      <c r="D498" s="132">
        <f>$D$473</f>
        <v>600000</v>
      </c>
      <c r="E498" s="131">
        <f>$E$473</f>
        <v>365</v>
      </c>
      <c r="F498" s="130" t="s">
        <v>3</v>
      </c>
      <c r="G498" s="130" t="s">
        <v>3</v>
      </c>
      <c r="H498" s="130" t="s">
        <v>3</v>
      </c>
      <c r="I498" s="130" t="s">
        <v>3</v>
      </c>
      <c r="J498" s="130" t="s">
        <v>3</v>
      </c>
      <c r="K498" s="130" t="s">
        <v>3</v>
      </c>
      <c r="L498" s="129">
        <f>IF(AND(F498="Yes",G498="Yes",H498="Yes",I498&lt;&gt;"Yes",J498&lt;&gt;"Yes",K498&lt;&gt;"Yes"),0.25,IF(AND(F498="Yes",G498="Yes",H498="Yes",I498="Yes",J498&lt;&gt;"Yes",K498&lt;&gt;"Yes"),0.5,IF(AND(F498="Yes",G498="Yes",H498="Yes",I498="Yes",J498="Yes",K498&lt;&gt;"Yes"),0.75,IF(AND(F498="Yes",G498="Yes",H498="Yes",I498="Yes",J498="Yes",K498="Yes"),1,0))))</f>
        <v>1</v>
      </c>
      <c r="M498" s="899" t="b">
        <v>0</v>
      </c>
      <c r="N498" s="753"/>
    </row>
    <row r="499" spans="1:25" s="1" customFormat="1" ht="19.95" hidden="1" customHeight="1" outlineLevel="1" x14ac:dyDescent="0.35">
      <c r="A499" s="128"/>
      <c r="B499" s="127" t="s">
        <v>148</v>
      </c>
      <c r="C499" s="126"/>
      <c r="D499" s="125">
        <f>SUM(D494:D498)</f>
        <v>2340000</v>
      </c>
      <c r="E499" s="11"/>
      <c r="F499" s="11"/>
      <c r="G499" s="11"/>
      <c r="H499" s="11"/>
      <c r="I499" s="11"/>
      <c r="J499" s="11"/>
      <c r="K499" s="11"/>
      <c r="L499" s="124">
        <f>IF(D499=0,1,IF(COUNTIF(D494:D498,"&gt;0")=0,"",SUMPRODUCT(D494:D498,E494:E498,L494:L498)/SUMPRODUCT(D494:D498,E494:E498)))</f>
        <v>0.77805397727272729</v>
      </c>
      <c r="M499" s="11"/>
      <c r="N499" s="11"/>
      <c r="R499" s="4"/>
      <c r="S499" s="4"/>
      <c r="T499" s="4"/>
      <c r="U499" s="4"/>
      <c r="V499" s="4"/>
      <c r="X499" s="4"/>
      <c r="Y499" s="4"/>
    </row>
    <row r="500" spans="1:25" ht="40.049999999999997" hidden="1" customHeight="1" outlineLevel="1" x14ac:dyDescent="0.35">
      <c r="A500" s="9"/>
      <c r="B500" s="785" t="s">
        <v>695</v>
      </c>
      <c r="C500" s="786"/>
      <c r="D500" s="787"/>
      <c r="E500" s="707" t="s">
        <v>187</v>
      </c>
      <c r="F500" s="708"/>
      <c r="G500" s="708"/>
      <c r="H500" s="708"/>
      <c r="I500" s="708"/>
      <c r="J500" s="708"/>
      <c r="K500" s="709"/>
      <c r="L500" s="677" t="s">
        <v>186</v>
      </c>
      <c r="M500" s="876" t="s">
        <v>5</v>
      </c>
      <c r="N500" s="877"/>
    </row>
    <row r="501" spans="1:25" ht="60" hidden="1" customHeight="1" outlineLevel="1" x14ac:dyDescent="0.35">
      <c r="A501" s="9"/>
      <c r="B501" s="707" t="s">
        <v>157</v>
      </c>
      <c r="C501" s="788"/>
      <c r="D501" s="344" t="s">
        <v>156</v>
      </c>
      <c r="E501" s="344" t="s">
        <v>155</v>
      </c>
      <c r="F501" s="344" t="s">
        <v>154</v>
      </c>
      <c r="G501" s="344" t="s">
        <v>185</v>
      </c>
      <c r="H501" s="344" t="s">
        <v>184</v>
      </c>
      <c r="I501" s="344" t="s">
        <v>183</v>
      </c>
      <c r="J501" s="344" t="s">
        <v>182</v>
      </c>
      <c r="K501" s="344" t="s">
        <v>181</v>
      </c>
      <c r="L501" s="678"/>
      <c r="M501" s="878"/>
      <c r="N501" s="879"/>
    </row>
    <row r="502" spans="1:25" ht="19.95" hidden="1" customHeight="1" outlineLevel="1" x14ac:dyDescent="0.35">
      <c r="A502" s="9"/>
      <c r="B502" s="803" t="str">
        <f>$B$469</f>
        <v>Term deposits</v>
      </c>
      <c r="C502" s="804"/>
      <c r="D502" s="137">
        <f>$D$469</f>
        <v>200000</v>
      </c>
      <c r="E502" s="137">
        <f>$E$469</f>
        <v>300</v>
      </c>
      <c r="F502" s="136" t="s">
        <v>3</v>
      </c>
      <c r="G502" s="136" t="s">
        <v>3</v>
      </c>
      <c r="H502" s="136" t="s">
        <v>3</v>
      </c>
      <c r="I502" s="136" t="s">
        <v>3</v>
      </c>
      <c r="J502" s="136" t="s">
        <v>3</v>
      </c>
      <c r="K502" s="136" t="s">
        <v>3</v>
      </c>
      <c r="L502" s="135">
        <f>IF(AND(F502="Yes",G502="Yes",H502="Yes",I502&lt;&gt;"Yes",J502&lt;&gt;"Yes",K502&lt;&gt;"Yes"),0.25,IF(AND(F502="Yes",G502="Yes",H502="Yes",I502="Yes",J502&lt;&gt;"Yes",K502&lt;&gt;"Yes"),0.5,IF(AND(F502="Yes",G502="Yes",H502="Yes",I502="Yes",J502="Yes",K502&lt;&gt;"Yes"),0.75,IF(AND(F502="Yes",G502="Yes",H502="Yes",I502="Yes",J502="Yes",K502="Yes"),1,0))))</f>
        <v>1</v>
      </c>
      <c r="M502" s="898"/>
      <c r="N502" s="691"/>
    </row>
    <row r="503" spans="1:25" ht="19.95" hidden="1" customHeight="1" outlineLevel="1" x14ac:dyDescent="0.35">
      <c r="A503" s="9"/>
      <c r="B503" s="730" t="str">
        <f>$B$470</f>
        <v>Energy sector stock</v>
      </c>
      <c r="C503" s="717" t="str">
        <f>IF('[2]Site information'!C442="","",'[2]Site information'!C442)</f>
        <v/>
      </c>
      <c r="D503" s="131">
        <f>$D$470</f>
        <v>500000</v>
      </c>
      <c r="E503" s="131">
        <f>$E$470</f>
        <v>100</v>
      </c>
      <c r="F503" s="134" t="s">
        <v>3</v>
      </c>
      <c r="G503" s="134" t="s">
        <v>3</v>
      </c>
      <c r="H503" s="134" t="s">
        <v>3</v>
      </c>
      <c r="I503" s="134" t="s">
        <v>3</v>
      </c>
      <c r="J503" s="134" t="s">
        <v>3</v>
      </c>
      <c r="K503" s="134" t="s">
        <v>3</v>
      </c>
      <c r="L503" s="133">
        <f>IF(AND(F503="Yes",G503="Yes",H503="Yes",I503&lt;&gt;"Yes",J503&lt;&gt;"Yes",K503&lt;&gt;"Yes"),0.25,IF(AND(F503="Yes",G503="Yes",H503="Yes",I503="Yes",J503&lt;&gt;"Yes",K503&lt;&gt;"Yes"),0.5,IF(AND(F503="Yes",G503="Yes",H503="Yes",I503="Yes",J503="Yes",K503&lt;&gt;"Yes"),0.75,IF(AND(F503="Yes",G503="Yes",H503="Yes",I503="Yes",J503="Yes",K503="Yes"),1,0))))</f>
        <v>1</v>
      </c>
      <c r="M503" s="778"/>
      <c r="N503" s="689"/>
    </row>
    <row r="504" spans="1:25" ht="19.95" hidden="1" customHeight="1" outlineLevel="1" x14ac:dyDescent="0.35">
      <c r="A504" s="9"/>
      <c r="B504" s="730" t="str">
        <f>$B$471</f>
        <v>Financial sector stock</v>
      </c>
      <c r="C504" s="717" t="str">
        <f>IF('[2]Site information'!C443="","",'[2]Site information'!C443)</f>
        <v/>
      </c>
      <c r="D504" s="131">
        <f>$D$471</f>
        <v>40000</v>
      </c>
      <c r="E504" s="131">
        <f>$E$471</f>
        <v>250</v>
      </c>
      <c r="F504" s="134" t="s">
        <v>3</v>
      </c>
      <c r="G504" s="134" t="s">
        <v>3</v>
      </c>
      <c r="H504" s="134" t="s">
        <v>3</v>
      </c>
      <c r="I504" s="134" t="s">
        <v>3</v>
      </c>
      <c r="J504" s="134" t="s">
        <v>3</v>
      </c>
      <c r="K504" s="134" t="s">
        <v>3</v>
      </c>
      <c r="L504" s="133">
        <f>IF(AND(F504="Yes",G504="Yes",H504="Yes",I504&lt;&gt;"Yes",J504&lt;&gt;"Yes",K504&lt;&gt;"Yes"),0.25,IF(AND(F504="Yes",G504="Yes",H504="Yes",I504="Yes",J504&lt;&gt;"Yes",K504&lt;&gt;"Yes"),0.5,IF(AND(F504="Yes",G504="Yes",H504="Yes",I504="Yes",J504="Yes",K504&lt;&gt;"Yes"),0.75,IF(AND(F504="Yes",G504="Yes",H504="Yes",I504="Yes",J504="Yes",K504="Yes"),1,0))))</f>
        <v>1</v>
      </c>
      <c r="M504" s="778"/>
      <c r="N504" s="689"/>
    </row>
    <row r="505" spans="1:25" ht="19.95" hidden="1" customHeight="1" outlineLevel="1" x14ac:dyDescent="0.35">
      <c r="A505" s="9"/>
      <c r="B505" s="730" t="str">
        <f>$B$472</f>
        <v>Corporate bonds</v>
      </c>
      <c r="C505" s="717"/>
      <c r="D505" s="131">
        <f>$D$472</f>
        <v>1000000</v>
      </c>
      <c r="E505" s="131">
        <f>$E$472</f>
        <v>365</v>
      </c>
      <c r="F505" s="134" t="s">
        <v>3</v>
      </c>
      <c r="G505" s="134" t="s">
        <v>3</v>
      </c>
      <c r="H505" s="134" t="s">
        <v>3</v>
      </c>
      <c r="I505" s="134" t="s">
        <v>3</v>
      </c>
      <c r="J505" s="134" t="s">
        <v>3</v>
      </c>
      <c r="K505" s="134" t="s">
        <v>3</v>
      </c>
      <c r="L505" s="133">
        <f>IF(AND(F505="Yes",G505="Yes",H505="Yes",I505&lt;&gt;"Yes",J505&lt;&gt;"Yes",K505&lt;&gt;"Yes"),0.25,IF(AND(F505="Yes",G505="Yes",H505="Yes",I505="Yes",J505&lt;&gt;"Yes",K505&lt;&gt;"Yes"),0.5,IF(AND(F505="Yes",G505="Yes",H505="Yes",I505="Yes",J505="Yes",K505&lt;&gt;"Yes"),0.75,IF(AND(F505="Yes",G505="Yes",H505="Yes",I505="Yes",J505="Yes",K505="Yes"),1,0))))</f>
        <v>1</v>
      </c>
      <c r="M505" s="778"/>
      <c r="N505" s="689"/>
    </row>
    <row r="506" spans="1:25" ht="19.95" hidden="1" customHeight="1" outlineLevel="1" x14ac:dyDescent="0.35">
      <c r="A506" s="128"/>
      <c r="B506" s="730" t="str">
        <f>$B$473</f>
        <v>Company's own stock</v>
      </c>
      <c r="C506" s="717"/>
      <c r="D506" s="132">
        <f>$D$473</f>
        <v>600000</v>
      </c>
      <c r="E506" s="131">
        <f>$E$473</f>
        <v>365</v>
      </c>
      <c r="F506" s="130" t="s">
        <v>3</v>
      </c>
      <c r="G506" s="130" t="s">
        <v>3</v>
      </c>
      <c r="H506" s="130" t="s">
        <v>3</v>
      </c>
      <c r="I506" s="130" t="s">
        <v>3</v>
      </c>
      <c r="J506" s="130" t="s">
        <v>3</v>
      </c>
      <c r="K506" s="130" t="s">
        <v>3</v>
      </c>
      <c r="L506" s="129">
        <f>IF(AND(F506="Yes",G506="Yes",H506="Yes",I506&lt;&gt;"Yes",J506&lt;&gt;"Yes",K506&lt;&gt;"Yes"),0.25,IF(AND(F506="Yes",G506="Yes",H506="Yes",I506="Yes",J506&lt;&gt;"Yes",K506&lt;&gt;"Yes"),0.5,IF(AND(F506="Yes",G506="Yes",H506="Yes",I506="Yes",J506="Yes",K506&lt;&gt;"Yes"),0.75,IF(AND(F506="Yes",G506="Yes",H506="Yes",I506="Yes",J506="Yes",K506="Yes"),1,0))))</f>
        <v>1</v>
      </c>
      <c r="M506" s="899"/>
      <c r="N506" s="753"/>
    </row>
    <row r="507" spans="1:25" s="1" customFormat="1" ht="19.95" hidden="1" customHeight="1" outlineLevel="1" x14ac:dyDescent="0.35">
      <c r="A507" s="128"/>
      <c r="B507" s="127" t="s">
        <v>148</v>
      </c>
      <c r="C507" s="126"/>
      <c r="D507" s="125">
        <f>SUM(D502:D506)</f>
        <v>2340000</v>
      </c>
      <c r="E507" s="11"/>
      <c r="F507" s="11"/>
      <c r="G507" s="11"/>
      <c r="H507" s="11"/>
      <c r="I507" s="11"/>
      <c r="J507" s="11"/>
      <c r="K507" s="11"/>
      <c r="L507" s="124">
        <f>IF(D507=0,1,IF(COUNTIF(D502:D506,"&gt;0")=0,"",SUMPRODUCT(D502:D506,E502:E506,L502:L506)/SUMPRODUCT(D502:D506,E502:E506)))</f>
        <v>1</v>
      </c>
      <c r="M507" s="11"/>
      <c r="N507" s="11"/>
      <c r="R507" s="4"/>
      <c r="S507" s="4"/>
      <c r="T507" s="4"/>
      <c r="U507" s="4"/>
      <c r="V507" s="4"/>
      <c r="X507" s="4"/>
      <c r="Y507" s="4"/>
    </row>
    <row r="508" spans="1:25" ht="30" hidden="1" customHeight="1" outlineLevel="1" x14ac:dyDescent="0.35">
      <c r="A508" s="9"/>
      <c r="B508" s="785" t="s">
        <v>696</v>
      </c>
      <c r="C508" s="786"/>
      <c r="D508" s="787"/>
      <c r="E508" s="707" t="s">
        <v>180</v>
      </c>
      <c r="F508" s="708"/>
      <c r="G508" s="708"/>
      <c r="H508" s="708"/>
      <c r="I508" s="708"/>
      <c r="J508" s="708"/>
      <c r="K508" s="709"/>
      <c r="L508" s="677" t="s">
        <v>179</v>
      </c>
      <c r="M508" s="876" t="s">
        <v>5</v>
      </c>
      <c r="N508" s="877"/>
    </row>
    <row r="509" spans="1:25" ht="60" hidden="1" customHeight="1" outlineLevel="1" x14ac:dyDescent="0.35">
      <c r="A509" s="9"/>
      <c r="B509" s="707" t="s">
        <v>157</v>
      </c>
      <c r="C509" s="788"/>
      <c r="D509" s="344" t="s">
        <v>156</v>
      </c>
      <c r="E509" s="344" t="s">
        <v>155</v>
      </c>
      <c r="F509" s="344" t="s">
        <v>154</v>
      </c>
      <c r="G509" s="344" t="s">
        <v>178</v>
      </c>
      <c r="H509" s="344" t="s">
        <v>177</v>
      </c>
      <c r="I509" s="344" t="s">
        <v>176</v>
      </c>
      <c r="J509" s="344" t="s">
        <v>175</v>
      </c>
      <c r="K509" s="344" t="s">
        <v>174</v>
      </c>
      <c r="L509" s="678"/>
      <c r="M509" s="878"/>
      <c r="N509" s="879"/>
    </row>
    <row r="510" spans="1:25" ht="19.95" hidden="1" customHeight="1" outlineLevel="1" x14ac:dyDescent="0.35">
      <c r="A510" s="9"/>
      <c r="B510" s="803" t="str">
        <f>$B$469</f>
        <v>Term deposits</v>
      </c>
      <c r="C510" s="804"/>
      <c r="D510" s="137">
        <f>$D$469</f>
        <v>200000</v>
      </c>
      <c r="E510" s="137">
        <f>$E$469</f>
        <v>300</v>
      </c>
      <c r="F510" s="136" t="s">
        <v>3</v>
      </c>
      <c r="G510" s="136" t="s">
        <v>3</v>
      </c>
      <c r="H510" s="136" t="s">
        <v>3</v>
      </c>
      <c r="I510" s="136" t="s">
        <v>3</v>
      </c>
      <c r="J510" s="136" t="s">
        <v>3</v>
      </c>
      <c r="K510" s="136" t="s">
        <v>3</v>
      </c>
      <c r="L510" s="135">
        <f>IF(AND(F510="Yes",G510="Yes",H510="Yes",I510&lt;&gt;"Yes",J510&lt;&gt;"Yes",K510&lt;&gt;"Yes"),0.25,IF(AND(F510="Yes",G510="Yes",H510="Yes",I510="Yes",J510&lt;&gt;"Yes",K510&lt;&gt;"Yes"),0.5,IF(AND(F510="Yes",G510="Yes",H510="Yes",I510="Yes",J510="Yes",K510&lt;&gt;"Yes"),0.75,IF(AND(F510="Yes",G510="Yes",H510="Yes",I510="Yes",J510="Yes",K510="Yes"),1,0))))</f>
        <v>1</v>
      </c>
      <c r="M510" s="898"/>
      <c r="N510" s="691"/>
    </row>
    <row r="511" spans="1:25" ht="19.95" hidden="1" customHeight="1" outlineLevel="1" x14ac:dyDescent="0.35">
      <c r="A511" s="9"/>
      <c r="B511" s="730" t="str">
        <f>$B$470</f>
        <v>Energy sector stock</v>
      </c>
      <c r="C511" s="717" t="str">
        <f>IF('[2]Site information'!C450="","",'[2]Site information'!C450)</f>
        <v/>
      </c>
      <c r="D511" s="131">
        <f>$D$470</f>
        <v>500000</v>
      </c>
      <c r="E511" s="131">
        <f>$E$470</f>
        <v>100</v>
      </c>
      <c r="F511" s="134" t="s">
        <v>3</v>
      </c>
      <c r="G511" s="134" t="s">
        <v>3</v>
      </c>
      <c r="H511" s="134" t="s">
        <v>3</v>
      </c>
      <c r="I511" s="134" t="s">
        <v>3</v>
      </c>
      <c r="J511" s="134" t="s">
        <v>3</v>
      </c>
      <c r="K511" s="134" t="s">
        <v>3</v>
      </c>
      <c r="L511" s="133">
        <f>IF(AND(F511="Yes",G511="Yes",H511="Yes",I511&lt;&gt;"Yes",J511&lt;&gt;"Yes",K511&lt;&gt;"Yes"),0.25,IF(AND(F511="Yes",G511="Yes",H511="Yes",I511="Yes",J511&lt;&gt;"Yes",K511&lt;&gt;"Yes"),0.5,IF(AND(F511="Yes",G511="Yes",H511="Yes",I511="Yes",J511="Yes",K511&lt;&gt;"Yes"),0.75,IF(AND(F511="Yes",G511="Yes",H511="Yes",I511="Yes",J511="Yes",K511="Yes"),1,0))))</f>
        <v>1</v>
      </c>
      <c r="M511" s="778"/>
      <c r="N511" s="689"/>
    </row>
    <row r="512" spans="1:25" ht="19.95" hidden="1" customHeight="1" outlineLevel="1" x14ac:dyDescent="0.35">
      <c r="A512" s="9"/>
      <c r="B512" s="730" t="str">
        <f>$B$471</f>
        <v>Financial sector stock</v>
      </c>
      <c r="C512" s="717" t="str">
        <f>IF('[2]Site information'!C451="","",'[2]Site information'!C451)</f>
        <v/>
      </c>
      <c r="D512" s="131">
        <f>$D$471</f>
        <v>40000</v>
      </c>
      <c r="E512" s="131">
        <f>$E$471</f>
        <v>250</v>
      </c>
      <c r="F512" s="134" t="s">
        <v>3</v>
      </c>
      <c r="G512" s="134" t="s">
        <v>3</v>
      </c>
      <c r="H512" s="134" t="s">
        <v>3</v>
      </c>
      <c r="I512" s="134" t="s">
        <v>4</v>
      </c>
      <c r="J512" s="134"/>
      <c r="K512" s="134"/>
      <c r="L512" s="133">
        <f>IF(AND(F512="Yes",G512="Yes",H512="Yes",I512&lt;&gt;"Yes",J512&lt;&gt;"Yes",K512&lt;&gt;"Yes"),0.25,IF(AND(F512="Yes",G512="Yes",H512="Yes",I512="Yes",J512&lt;&gt;"Yes",K512&lt;&gt;"Yes"),0.5,IF(AND(F512="Yes",G512="Yes",H512="Yes",I512="Yes",J512="Yes",K512&lt;&gt;"Yes"),0.75,IF(AND(F512="Yes",G512="Yes",H512="Yes",I512="Yes",J512="Yes",K512="Yes"),1,0))))</f>
        <v>0.25</v>
      </c>
      <c r="M512" s="778"/>
      <c r="N512" s="689"/>
    </row>
    <row r="513" spans="1:25" ht="19.95" hidden="1" customHeight="1" outlineLevel="1" x14ac:dyDescent="0.35">
      <c r="A513" s="9"/>
      <c r="B513" s="730" t="str">
        <f>$B$472</f>
        <v>Corporate bonds</v>
      </c>
      <c r="C513" s="717"/>
      <c r="D513" s="131">
        <f>$D$472</f>
        <v>1000000</v>
      </c>
      <c r="E513" s="131">
        <f>$E$472</f>
        <v>365</v>
      </c>
      <c r="F513" s="134" t="s">
        <v>3</v>
      </c>
      <c r="G513" s="134" t="s">
        <v>3</v>
      </c>
      <c r="H513" s="134" t="s">
        <v>3</v>
      </c>
      <c r="I513" s="134" t="s">
        <v>3</v>
      </c>
      <c r="J513" s="134" t="s">
        <v>4</v>
      </c>
      <c r="K513" s="134"/>
      <c r="L513" s="133">
        <f>IF(AND(F513="Yes",G513="Yes",H513="Yes",I513&lt;&gt;"Yes",J513&lt;&gt;"Yes",K513&lt;&gt;"Yes"),0.25,IF(AND(F513="Yes",G513="Yes",H513="Yes",I513="Yes",J513&lt;&gt;"Yes",K513&lt;&gt;"Yes"),0.5,IF(AND(F513="Yes",G513="Yes",H513="Yes",I513="Yes",J513="Yes",K513&lt;&gt;"Yes"),0.75,IF(AND(F513="Yes",G513="Yes",H513="Yes",I513="Yes",J513="Yes",K513="Yes"),1,0))))</f>
        <v>0.5</v>
      </c>
      <c r="M513" s="778"/>
      <c r="N513" s="689"/>
    </row>
    <row r="514" spans="1:25" ht="19.95" hidden="1" customHeight="1" outlineLevel="1" x14ac:dyDescent="0.35">
      <c r="A514" s="128"/>
      <c r="B514" s="730" t="str">
        <f>$B$473</f>
        <v>Company's own stock</v>
      </c>
      <c r="C514" s="717"/>
      <c r="D514" s="132">
        <f>$D$473</f>
        <v>600000</v>
      </c>
      <c r="E514" s="131">
        <f>$E$473</f>
        <v>365</v>
      </c>
      <c r="F514" s="130" t="s">
        <v>3</v>
      </c>
      <c r="G514" s="130" t="s">
        <v>3</v>
      </c>
      <c r="H514" s="130" t="s">
        <v>3</v>
      </c>
      <c r="I514" s="130" t="s">
        <v>3</v>
      </c>
      <c r="J514" s="130" t="s">
        <v>3</v>
      </c>
      <c r="K514" s="130" t="s">
        <v>4</v>
      </c>
      <c r="L514" s="129">
        <f>IF(AND(F514="Yes",G514="Yes",H514="Yes",I514&lt;&gt;"Yes",J514&lt;&gt;"Yes",K514&lt;&gt;"Yes"),0.25,IF(AND(F514="Yes",G514="Yes",H514="Yes",I514="Yes",J514&lt;&gt;"Yes",K514&lt;&gt;"Yes"),0.5,IF(AND(F514="Yes",G514="Yes",H514="Yes",I514="Yes",J514="Yes",K514&lt;&gt;"Yes"),0.75,IF(AND(F514="Yes",G514="Yes",H514="Yes",I514="Yes",J514="Yes",K514="Yes"),1,0))))</f>
        <v>0.75</v>
      </c>
      <c r="M514" s="899"/>
      <c r="N514" s="753"/>
    </row>
    <row r="515" spans="1:25" s="1" customFormat="1" ht="19.95" hidden="1" customHeight="1" outlineLevel="1" x14ac:dyDescent="0.35">
      <c r="A515" s="128"/>
      <c r="B515" s="127" t="s">
        <v>148</v>
      </c>
      <c r="C515" s="126"/>
      <c r="D515" s="125">
        <f>SUM(D510:D514)</f>
        <v>2340000</v>
      </c>
      <c r="E515" s="11"/>
      <c r="F515" s="11"/>
      <c r="G515" s="11"/>
      <c r="H515" s="11"/>
      <c r="I515" s="11"/>
      <c r="J515" s="11"/>
      <c r="K515" s="11"/>
      <c r="L515" s="124">
        <f>IF(D515=0,1,IF(COUNTIF(D510:D514,"&gt;0")=0,"",SUMPRODUCT(D510:D514,E510:E514,L510:L514)/SUMPRODUCT(D510:D514,E510:E514)))</f>
        <v>0.65234375</v>
      </c>
      <c r="M515" s="11"/>
      <c r="N515" s="11"/>
      <c r="R515" s="4"/>
      <c r="S515" s="4"/>
      <c r="T515" s="4"/>
      <c r="U515" s="4"/>
      <c r="V515" s="4"/>
      <c r="X515" s="4"/>
      <c r="Y515" s="4"/>
    </row>
    <row r="516" spans="1:25" ht="30" hidden="1" customHeight="1" outlineLevel="1" x14ac:dyDescent="0.35">
      <c r="A516" s="9"/>
      <c r="B516" s="785" t="s">
        <v>697</v>
      </c>
      <c r="C516" s="786"/>
      <c r="D516" s="787"/>
      <c r="E516" s="707" t="s">
        <v>173</v>
      </c>
      <c r="F516" s="708"/>
      <c r="G516" s="708"/>
      <c r="H516" s="708"/>
      <c r="I516" s="708"/>
      <c r="J516" s="708"/>
      <c r="K516" s="709"/>
      <c r="L516" s="677" t="s">
        <v>172</v>
      </c>
      <c r="M516" s="876" t="s">
        <v>5</v>
      </c>
      <c r="N516" s="877"/>
    </row>
    <row r="517" spans="1:25" ht="60" hidden="1" customHeight="1" outlineLevel="1" x14ac:dyDescent="0.35">
      <c r="A517" s="9"/>
      <c r="B517" s="707" t="s">
        <v>157</v>
      </c>
      <c r="C517" s="788"/>
      <c r="D517" s="344" t="s">
        <v>156</v>
      </c>
      <c r="E517" s="344" t="s">
        <v>155</v>
      </c>
      <c r="F517" s="344" t="s">
        <v>154</v>
      </c>
      <c r="G517" s="344" t="s">
        <v>171</v>
      </c>
      <c r="H517" s="344" t="s">
        <v>170</v>
      </c>
      <c r="I517" s="344" t="s">
        <v>169</v>
      </c>
      <c r="J517" s="344" t="s">
        <v>168</v>
      </c>
      <c r="K517" s="344" t="s">
        <v>167</v>
      </c>
      <c r="L517" s="678"/>
      <c r="M517" s="878"/>
      <c r="N517" s="879"/>
    </row>
    <row r="518" spans="1:25" ht="19.95" hidden="1" customHeight="1" outlineLevel="1" x14ac:dyDescent="0.35">
      <c r="A518" s="9"/>
      <c r="B518" s="803" t="str">
        <f>$B$469</f>
        <v>Term deposits</v>
      </c>
      <c r="C518" s="804"/>
      <c r="D518" s="137">
        <f>$D$469</f>
        <v>200000</v>
      </c>
      <c r="E518" s="137">
        <f>$E$469</f>
        <v>300</v>
      </c>
      <c r="F518" s="136" t="s">
        <v>3</v>
      </c>
      <c r="G518" s="136" t="s">
        <v>3</v>
      </c>
      <c r="H518" s="136" t="s">
        <v>3</v>
      </c>
      <c r="I518" s="136" t="s">
        <v>4</v>
      </c>
      <c r="J518" s="136"/>
      <c r="K518" s="136"/>
      <c r="L518" s="135">
        <f>IF(AND(F518="Yes",G518="Yes",H518="Yes",I518&lt;&gt;"Yes",J518&lt;&gt;"Yes",K518&lt;&gt;"Yes"),0.25,IF(AND(F518="Yes",G518="Yes",H518="Yes",I518="Yes",J518&lt;&gt;"Yes",K518&lt;&gt;"Yes"),0.5,IF(AND(F518="Yes",G518="Yes",H518="Yes",I518="Yes",J518="Yes",K518&lt;&gt;"Yes"),0.75,IF(AND(F518="Yes",G518="Yes",H518="Yes",I518="Yes",J518="Yes",K518="Yes"),1,0))))</f>
        <v>0.25</v>
      </c>
      <c r="M518" s="898"/>
      <c r="N518" s="691"/>
    </row>
    <row r="519" spans="1:25" ht="19.95" hidden="1" customHeight="1" outlineLevel="1" x14ac:dyDescent="0.35">
      <c r="A519" s="9"/>
      <c r="B519" s="730" t="str">
        <f>$B$470</f>
        <v>Energy sector stock</v>
      </c>
      <c r="C519" s="717" t="str">
        <f>IF('[2]Site information'!C458="","",'[2]Site information'!C458)</f>
        <v/>
      </c>
      <c r="D519" s="131">
        <f>$D$470</f>
        <v>500000</v>
      </c>
      <c r="E519" s="131">
        <f>$E$470</f>
        <v>100</v>
      </c>
      <c r="F519" s="134" t="s">
        <v>3</v>
      </c>
      <c r="G519" s="134" t="s">
        <v>3</v>
      </c>
      <c r="H519" s="134" t="s">
        <v>3</v>
      </c>
      <c r="I519" s="134" t="s">
        <v>3</v>
      </c>
      <c r="J519" s="134" t="s">
        <v>3</v>
      </c>
      <c r="K519" s="134" t="s">
        <v>3</v>
      </c>
      <c r="L519" s="133">
        <f>IF(AND(F519="Yes",G519="Yes",H519="Yes",I519&lt;&gt;"Yes",J519&lt;&gt;"Yes",K519&lt;&gt;"Yes"),0.25,IF(AND(F519="Yes",G519="Yes",H519="Yes",I519="Yes",J519&lt;&gt;"Yes",K519&lt;&gt;"Yes"),0.5,IF(AND(F519="Yes",G519="Yes",H519="Yes",I519="Yes",J519="Yes",K519&lt;&gt;"Yes"),0.75,IF(AND(F519="Yes",G519="Yes",H519="Yes",I519="Yes",J519="Yes",K519="Yes"),1,0))))</f>
        <v>1</v>
      </c>
      <c r="M519" s="778"/>
      <c r="N519" s="689"/>
    </row>
    <row r="520" spans="1:25" ht="19.95" hidden="1" customHeight="1" outlineLevel="1" x14ac:dyDescent="0.35">
      <c r="A520" s="9"/>
      <c r="B520" s="730" t="str">
        <f>$B$471</f>
        <v>Financial sector stock</v>
      </c>
      <c r="C520" s="717" t="str">
        <f>IF('[2]Site information'!C459="","",'[2]Site information'!C459)</f>
        <v/>
      </c>
      <c r="D520" s="131">
        <f>$D$471</f>
        <v>40000</v>
      </c>
      <c r="E520" s="131">
        <f>$E$471</f>
        <v>250</v>
      </c>
      <c r="F520" s="134" t="s">
        <v>3</v>
      </c>
      <c r="G520" s="134" t="s">
        <v>3</v>
      </c>
      <c r="H520" s="134" t="s">
        <v>3</v>
      </c>
      <c r="I520" s="134" t="s">
        <v>4</v>
      </c>
      <c r="J520" s="134"/>
      <c r="K520" s="134"/>
      <c r="L520" s="133">
        <f>IF(AND(F520="Yes",G520="Yes",H520="Yes",I520&lt;&gt;"Yes",J520&lt;&gt;"Yes",K520&lt;&gt;"Yes"),0.25,IF(AND(F520="Yes",G520="Yes",H520="Yes",I520="Yes",J520&lt;&gt;"Yes",K520&lt;&gt;"Yes"),0.5,IF(AND(F520="Yes",G520="Yes",H520="Yes",I520="Yes",J520="Yes",K520&lt;&gt;"Yes"),0.75,IF(AND(F520="Yes",G520="Yes",H520="Yes",I520="Yes",J520="Yes",K520="Yes"),1,0))))</f>
        <v>0.25</v>
      </c>
      <c r="M520" s="778"/>
      <c r="N520" s="689"/>
    </row>
    <row r="521" spans="1:25" ht="19.95" hidden="1" customHeight="1" outlineLevel="1" x14ac:dyDescent="0.35">
      <c r="A521" s="9"/>
      <c r="B521" s="730" t="str">
        <f>$B$472</f>
        <v>Corporate bonds</v>
      </c>
      <c r="C521" s="717"/>
      <c r="D521" s="131">
        <f>$D$472</f>
        <v>1000000</v>
      </c>
      <c r="E521" s="131">
        <f>$E$472</f>
        <v>365</v>
      </c>
      <c r="F521" s="134" t="s">
        <v>3</v>
      </c>
      <c r="G521" s="134" t="s">
        <v>3</v>
      </c>
      <c r="H521" s="134" t="s">
        <v>3</v>
      </c>
      <c r="I521" s="134" t="s">
        <v>3</v>
      </c>
      <c r="J521" s="134" t="s">
        <v>3</v>
      </c>
      <c r="K521" s="134" t="s">
        <v>4</v>
      </c>
      <c r="L521" s="133">
        <f>IF(AND(F521="Yes",G521="Yes",H521="Yes",I521&lt;&gt;"Yes",J521&lt;&gt;"Yes",K521&lt;&gt;"Yes"),0.25,IF(AND(F521="Yes",G521="Yes",H521="Yes",I521="Yes",J521&lt;&gt;"Yes",K521&lt;&gt;"Yes"),0.5,IF(AND(F521="Yes",G521="Yes",H521="Yes",I521="Yes",J521="Yes",K521&lt;&gt;"Yes"),0.75,IF(AND(F521="Yes",G521="Yes",H521="Yes",I521="Yes",J521="Yes",K521="Yes"),1,0))))</f>
        <v>0.75</v>
      </c>
      <c r="M521" s="778"/>
      <c r="N521" s="689"/>
    </row>
    <row r="522" spans="1:25" ht="19.95" hidden="1" customHeight="1" outlineLevel="1" x14ac:dyDescent="0.35">
      <c r="A522" s="128"/>
      <c r="B522" s="730" t="str">
        <f>$B$473</f>
        <v>Company's own stock</v>
      </c>
      <c r="C522" s="717"/>
      <c r="D522" s="132">
        <f>$D$473</f>
        <v>600000</v>
      </c>
      <c r="E522" s="131">
        <f>$E$473</f>
        <v>365</v>
      </c>
      <c r="F522" s="130" t="s">
        <v>3</v>
      </c>
      <c r="G522" s="130" t="s">
        <v>3</v>
      </c>
      <c r="H522" s="130" t="s">
        <v>3</v>
      </c>
      <c r="I522" s="130" t="s">
        <v>3</v>
      </c>
      <c r="J522" s="130" t="s">
        <v>3</v>
      </c>
      <c r="K522" s="130" t="s">
        <v>3</v>
      </c>
      <c r="L522" s="129">
        <f>IF(AND(F522="Yes",G522="Yes",H522="Yes",I522&lt;&gt;"Yes",J522&lt;&gt;"Yes",K522&lt;&gt;"Yes"),0.25,IF(AND(F522="Yes",G522="Yes",H522="Yes",I522="Yes",J522&lt;&gt;"Yes",K522&lt;&gt;"Yes"),0.5,IF(AND(F522="Yes",G522="Yes",H522="Yes",I522="Yes",J522="Yes",K522&lt;&gt;"Yes"),0.75,IF(AND(F522="Yes",G522="Yes",H522="Yes",I522="Yes",J522="Yes",K522="Yes"),1,0))))</f>
        <v>1</v>
      </c>
      <c r="M522" s="899"/>
      <c r="N522" s="753"/>
    </row>
    <row r="523" spans="1:25" s="1" customFormat="1" ht="19.95" hidden="1" customHeight="1" outlineLevel="1" x14ac:dyDescent="0.35">
      <c r="A523" s="128"/>
      <c r="B523" s="127" t="s">
        <v>148</v>
      </c>
      <c r="C523" s="126"/>
      <c r="D523" s="125">
        <f>SUM(D518:D522)</f>
        <v>2340000</v>
      </c>
      <c r="E523" s="11"/>
      <c r="F523" s="11"/>
      <c r="G523" s="11"/>
      <c r="H523" s="11"/>
      <c r="I523" s="11"/>
      <c r="J523" s="11"/>
      <c r="K523" s="11"/>
      <c r="L523" s="124">
        <f>IF(D523=0,1,IF(COUNTIF(D518:D522,"&gt;0")=0,"",SUMPRODUCT(D518:D522,E518:E522,L518:L522)/SUMPRODUCT(D518:D522,E518:E522)))</f>
        <v>0.79580965909090906</v>
      </c>
      <c r="M523" s="11"/>
      <c r="N523" s="11"/>
      <c r="R523" s="4"/>
      <c r="S523" s="4"/>
      <c r="T523" s="4"/>
      <c r="U523" s="4"/>
      <c r="V523" s="4"/>
      <c r="X523" s="4"/>
      <c r="Y523" s="4"/>
    </row>
    <row r="524" spans="1:25" ht="37.049999999999997" hidden="1" customHeight="1" outlineLevel="1" x14ac:dyDescent="0.35">
      <c r="A524" s="9"/>
      <c r="B524" s="785" t="s">
        <v>698</v>
      </c>
      <c r="C524" s="786"/>
      <c r="D524" s="787"/>
      <c r="E524" s="707" t="s">
        <v>166</v>
      </c>
      <c r="F524" s="708"/>
      <c r="G524" s="708"/>
      <c r="H524" s="708"/>
      <c r="I524" s="708"/>
      <c r="J524" s="708"/>
      <c r="K524" s="709"/>
      <c r="L524" s="677" t="s">
        <v>165</v>
      </c>
      <c r="M524" s="876" t="s">
        <v>5</v>
      </c>
      <c r="N524" s="877"/>
    </row>
    <row r="525" spans="1:25" ht="60" hidden="1" customHeight="1" outlineLevel="1" x14ac:dyDescent="0.35">
      <c r="A525" s="9"/>
      <c r="B525" s="707" t="s">
        <v>157</v>
      </c>
      <c r="C525" s="788"/>
      <c r="D525" s="344" t="s">
        <v>156</v>
      </c>
      <c r="E525" s="344" t="s">
        <v>155</v>
      </c>
      <c r="F525" s="344" t="s">
        <v>154</v>
      </c>
      <c r="G525" s="344" t="s">
        <v>164</v>
      </c>
      <c r="H525" s="344" t="s">
        <v>163</v>
      </c>
      <c r="I525" s="344" t="s">
        <v>162</v>
      </c>
      <c r="J525" s="344" t="s">
        <v>161</v>
      </c>
      <c r="K525" s="344" t="s">
        <v>160</v>
      </c>
      <c r="L525" s="678"/>
      <c r="M525" s="878"/>
      <c r="N525" s="879"/>
    </row>
    <row r="526" spans="1:25" ht="19.95" hidden="1" customHeight="1" outlineLevel="1" x14ac:dyDescent="0.35">
      <c r="A526" s="9"/>
      <c r="B526" s="803" t="str">
        <f>$B$469</f>
        <v>Term deposits</v>
      </c>
      <c r="C526" s="804"/>
      <c r="D526" s="137">
        <f>$D$469</f>
        <v>200000</v>
      </c>
      <c r="E526" s="137">
        <f>$E$469</f>
        <v>300</v>
      </c>
      <c r="F526" s="136" t="s">
        <v>3</v>
      </c>
      <c r="G526" s="136" t="s">
        <v>3</v>
      </c>
      <c r="H526" s="136" t="s">
        <v>3</v>
      </c>
      <c r="I526" s="136" t="s">
        <v>3</v>
      </c>
      <c r="J526" s="136" t="s">
        <v>3</v>
      </c>
      <c r="K526" s="136" t="s">
        <v>3</v>
      </c>
      <c r="L526" s="135">
        <f>IF(AND(F526="Yes",G526="Yes",H526="Yes",I526&lt;&gt;"Yes",J526&lt;&gt;"Yes",K526&lt;&gt;"Yes"),0.25,IF(AND(F526="Yes",G526="Yes",H526="Yes",I526="Yes",J526&lt;&gt;"Yes",K526&lt;&gt;"Yes"),0.5,IF(AND(F526="Yes",G526="Yes",H526="Yes",I526="Yes",J526="Yes",K526&lt;&gt;"Yes"),0.75,IF(AND(F526="Yes",G526="Yes",H526="Yes",I526="Yes",J526="Yes",K526="Yes"),1,0))))</f>
        <v>1</v>
      </c>
      <c r="M526" s="898"/>
      <c r="N526" s="691"/>
    </row>
    <row r="527" spans="1:25" ht="19.95" hidden="1" customHeight="1" outlineLevel="1" x14ac:dyDescent="0.35">
      <c r="A527" s="9"/>
      <c r="B527" s="730" t="str">
        <f>$B$470</f>
        <v>Energy sector stock</v>
      </c>
      <c r="C527" s="717" t="str">
        <f>IF('[2]Site information'!C466="","",'[2]Site information'!C466)</f>
        <v/>
      </c>
      <c r="D527" s="131">
        <f>$D$470</f>
        <v>500000</v>
      </c>
      <c r="E527" s="131">
        <f>$E$470</f>
        <v>100</v>
      </c>
      <c r="F527" s="134" t="s">
        <v>3</v>
      </c>
      <c r="G527" s="134" t="s">
        <v>3</v>
      </c>
      <c r="H527" s="134" t="s">
        <v>3</v>
      </c>
      <c r="I527" s="134" t="s">
        <v>3</v>
      </c>
      <c r="J527" s="134" t="s">
        <v>3</v>
      </c>
      <c r="K527" s="134" t="s">
        <v>3</v>
      </c>
      <c r="L527" s="133">
        <f>IF(AND(F527="Yes",G527="Yes",H527="Yes",I527&lt;&gt;"Yes",J527&lt;&gt;"Yes",K527&lt;&gt;"Yes"),0.25,IF(AND(F527="Yes",G527="Yes",H527="Yes",I527="Yes",J527&lt;&gt;"Yes",K527&lt;&gt;"Yes"),0.5,IF(AND(F527="Yes",G527="Yes",H527="Yes",I527="Yes",J527="Yes",K527&lt;&gt;"Yes"),0.75,IF(AND(F527="Yes",G527="Yes",H527="Yes",I527="Yes",J527="Yes",K527="Yes"),1,0))))</f>
        <v>1</v>
      </c>
      <c r="M527" s="778"/>
      <c r="N527" s="689"/>
    </row>
    <row r="528" spans="1:25" ht="19.95" hidden="1" customHeight="1" outlineLevel="1" x14ac:dyDescent="0.35">
      <c r="A528" s="9"/>
      <c r="B528" s="730" t="str">
        <f>$B$471</f>
        <v>Financial sector stock</v>
      </c>
      <c r="C528" s="717" t="str">
        <f>IF('[2]Site information'!C467="","",'[2]Site information'!C467)</f>
        <v/>
      </c>
      <c r="D528" s="131">
        <f>$D$471</f>
        <v>40000</v>
      </c>
      <c r="E528" s="131">
        <f>$E$471</f>
        <v>250</v>
      </c>
      <c r="F528" s="134" t="s">
        <v>3</v>
      </c>
      <c r="G528" s="134" t="s">
        <v>3</v>
      </c>
      <c r="H528" s="134" t="s">
        <v>3</v>
      </c>
      <c r="I528" s="134" t="s">
        <v>3</v>
      </c>
      <c r="J528" s="134" t="s">
        <v>3</v>
      </c>
      <c r="K528" s="134" t="s">
        <v>3</v>
      </c>
      <c r="L528" s="133">
        <f>IF(AND(F528="Yes",G528="Yes",H528="Yes",I528&lt;&gt;"Yes",J528&lt;&gt;"Yes",K528&lt;&gt;"Yes"),0.25,IF(AND(F528="Yes",G528="Yes",H528="Yes",I528="Yes",J528&lt;&gt;"Yes",K528&lt;&gt;"Yes"),0.5,IF(AND(F528="Yes",G528="Yes",H528="Yes",I528="Yes",J528="Yes",K528&lt;&gt;"Yes"),0.75,IF(AND(F528="Yes",G528="Yes",H528="Yes",I528="Yes",J528="Yes",K528="Yes"),1,0))))</f>
        <v>1</v>
      </c>
      <c r="M528" s="778"/>
      <c r="N528" s="689"/>
    </row>
    <row r="529" spans="1:25" ht="19.95" hidden="1" customHeight="1" outlineLevel="1" x14ac:dyDescent="0.35">
      <c r="A529" s="9"/>
      <c r="B529" s="730" t="str">
        <f>$B$472</f>
        <v>Corporate bonds</v>
      </c>
      <c r="C529" s="717"/>
      <c r="D529" s="131">
        <f>$D$472</f>
        <v>1000000</v>
      </c>
      <c r="E529" s="131">
        <f>$E$472</f>
        <v>365</v>
      </c>
      <c r="F529" s="134" t="s">
        <v>3</v>
      </c>
      <c r="G529" s="134" t="s">
        <v>3</v>
      </c>
      <c r="H529" s="134" t="s">
        <v>3</v>
      </c>
      <c r="I529" s="134" t="s">
        <v>3</v>
      </c>
      <c r="J529" s="134" t="s">
        <v>3</v>
      </c>
      <c r="K529" s="134" t="s">
        <v>3</v>
      </c>
      <c r="L529" s="133">
        <f>IF(AND(F529="Yes",G529="Yes",H529="Yes",I529&lt;&gt;"Yes",J529&lt;&gt;"Yes",K529&lt;&gt;"Yes"),0.25,IF(AND(F529="Yes",G529="Yes",H529="Yes",I529="Yes",J529&lt;&gt;"Yes",K529&lt;&gt;"Yes"),0.5,IF(AND(F529="Yes",G529="Yes",H529="Yes",I529="Yes",J529="Yes",K529&lt;&gt;"Yes"),0.75,IF(AND(F529="Yes",G529="Yes",H529="Yes",I529="Yes",J529="Yes",K529="Yes"),1,0))))</f>
        <v>1</v>
      </c>
      <c r="M529" s="778"/>
      <c r="N529" s="689"/>
    </row>
    <row r="530" spans="1:25" ht="19.95" hidden="1" customHeight="1" outlineLevel="1" x14ac:dyDescent="0.35">
      <c r="A530" s="128"/>
      <c r="B530" s="730" t="str">
        <f>$B$473</f>
        <v>Company's own stock</v>
      </c>
      <c r="C530" s="717"/>
      <c r="D530" s="132">
        <f>$D$473</f>
        <v>600000</v>
      </c>
      <c r="E530" s="131">
        <f>$E$473</f>
        <v>365</v>
      </c>
      <c r="F530" s="130" t="s">
        <v>3</v>
      </c>
      <c r="G530" s="130" t="s">
        <v>3</v>
      </c>
      <c r="H530" s="130" t="s">
        <v>3</v>
      </c>
      <c r="I530" s="130" t="s">
        <v>3</v>
      </c>
      <c r="J530" s="130" t="s">
        <v>3</v>
      </c>
      <c r="K530" s="130" t="s">
        <v>3</v>
      </c>
      <c r="L530" s="129">
        <f>IF(AND(F530="Yes",G530="Yes",H530="Yes",I530&lt;&gt;"Yes",J530&lt;&gt;"Yes",K530&lt;&gt;"Yes"),0.25,IF(AND(F530="Yes",G530="Yes",H530="Yes",I530="Yes",J530&lt;&gt;"Yes",K530&lt;&gt;"Yes"),0.5,IF(AND(F530="Yes",G530="Yes",H530="Yes",I530="Yes",J530="Yes",K530&lt;&gt;"Yes"),0.75,IF(AND(F530="Yes",G530="Yes",H530="Yes",I530="Yes",J530="Yes",K530="Yes"),1,0))))</f>
        <v>1</v>
      </c>
      <c r="M530" s="899"/>
      <c r="N530" s="753"/>
    </row>
    <row r="531" spans="1:25" s="1" customFormat="1" ht="19.95" hidden="1" customHeight="1" outlineLevel="1" x14ac:dyDescent="0.35">
      <c r="A531" s="128"/>
      <c r="B531" s="127" t="s">
        <v>148</v>
      </c>
      <c r="C531" s="126"/>
      <c r="D531" s="125">
        <f>SUM(D526:D530)</f>
        <v>2340000</v>
      </c>
      <c r="E531" s="11"/>
      <c r="F531" s="11"/>
      <c r="G531" s="11"/>
      <c r="H531" s="11"/>
      <c r="I531" s="11"/>
      <c r="J531" s="11"/>
      <c r="K531" s="11"/>
      <c r="L531" s="124">
        <f>IF(D531=0,1,IF(COUNTIF(D526:D530,"&gt;0")=0,"",SUMPRODUCT(D526:D530,E526:E530,L526:L530)/SUMPRODUCT(D526:D530,E526:E530)))</f>
        <v>1</v>
      </c>
      <c r="M531" s="11"/>
      <c r="N531" s="11"/>
      <c r="R531" s="4"/>
      <c r="S531" s="4"/>
      <c r="T531" s="4"/>
      <c r="U531" s="4"/>
      <c r="V531" s="4"/>
      <c r="X531" s="4"/>
      <c r="Y531" s="4"/>
    </row>
    <row r="532" spans="1:25" ht="30" hidden="1" customHeight="1" outlineLevel="1" x14ac:dyDescent="0.35">
      <c r="A532" s="9"/>
      <c r="B532" s="785" t="s">
        <v>699</v>
      </c>
      <c r="C532" s="786"/>
      <c r="D532" s="787"/>
      <c r="E532" s="707" t="s">
        <v>159</v>
      </c>
      <c r="F532" s="708"/>
      <c r="G532" s="708"/>
      <c r="H532" s="708"/>
      <c r="I532" s="708"/>
      <c r="J532" s="708"/>
      <c r="K532" s="709"/>
      <c r="L532" s="677" t="s">
        <v>158</v>
      </c>
      <c r="M532" s="876" t="s">
        <v>5</v>
      </c>
      <c r="N532" s="877"/>
    </row>
    <row r="533" spans="1:25" ht="60" hidden="1" customHeight="1" outlineLevel="1" x14ac:dyDescent="0.35">
      <c r="A533" s="9"/>
      <c r="B533" s="707" t="s">
        <v>157</v>
      </c>
      <c r="C533" s="788"/>
      <c r="D533" s="344" t="s">
        <v>156</v>
      </c>
      <c r="E533" s="344" t="s">
        <v>155</v>
      </c>
      <c r="F533" s="344" t="s">
        <v>154</v>
      </c>
      <c r="G533" s="344" t="s">
        <v>153</v>
      </c>
      <c r="H533" s="344" t="s">
        <v>152</v>
      </c>
      <c r="I533" s="344" t="s">
        <v>151</v>
      </c>
      <c r="J533" s="344" t="s">
        <v>150</v>
      </c>
      <c r="K533" s="344" t="s">
        <v>149</v>
      </c>
      <c r="L533" s="678"/>
      <c r="M533" s="878"/>
      <c r="N533" s="879"/>
    </row>
    <row r="534" spans="1:25" ht="19.95" hidden="1" customHeight="1" outlineLevel="1" x14ac:dyDescent="0.35">
      <c r="A534" s="9"/>
      <c r="B534" s="803" t="str">
        <f>$B$469</f>
        <v>Term deposits</v>
      </c>
      <c r="C534" s="804"/>
      <c r="D534" s="137">
        <f>$D$469</f>
        <v>200000</v>
      </c>
      <c r="E534" s="137">
        <f>$E$469</f>
        <v>300</v>
      </c>
      <c r="F534" s="136" t="s">
        <v>3</v>
      </c>
      <c r="G534" s="136" t="s">
        <v>3</v>
      </c>
      <c r="H534" s="136" t="s">
        <v>4</v>
      </c>
      <c r="I534" s="136"/>
      <c r="J534" s="136"/>
      <c r="K534" s="136"/>
      <c r="L534" s="135">
        <f>IF(AND(F534="Yes",G534="Yes",H534="Yes",I534&lt;&gt;"Yes",J534&lt;&gt;"Yes",K534&lt;&gt;"Yes"),0.25,IF(AND(F534="Yes",G534="Yes",H534="Yes",I534="Yes",J534&lt;&gt;"Yes",K534&lt;&gt;"Yes"),0.5,IF(AND(F534="Yes",G534="Yes",H534="Yes",I534="Yes",J534="Yes",K534&lt;&gt;"Yes"),0.75,IF(AND(F534="Yes",G534="Yes",H534="Yes",I534="Yes",J534="Yes",K534="Yes"),1,0))))</f>
        <v>0</v>
      </c>
      <c r="M534" s="898"/>
      <c r="N534" s="691"/>
    </row>
    <row r="535" spans="1:25" ht="19.95" hidden="1" customHeight="1" outlineLevel="1" x14ac:dyDescent="0.35">
      <c r="A535" s="9"/>
      <c r="B535" s="730" t="str">
        <f>$B$470</f>
        <v>Energy sector stock</v>
      </c>
      <c r="C535" s="717" t="str">
        <f>IF('[2]Site information'!C474="","",'[2]Site information'!C474)</f>
        <v/>
      </c>
      <c r="D535" s="131">
        <f>$D$470</f>
        <v>500000</v>
      </c>
      <c r="E535" s="131">
        <f>$E$470</f>
        <v>100</v>
      </c>
      <c r="F535" s="134" t="s">
        <v>3</v>
      </c>
      <c r="G535" s="134" t="s">
        <v>3</v>
      </c>
      <c r="H535" s="134" t="s">
        <v>3</v>
      </c>
      <c r="I535" s="134" t="s">
        <v>3</v>
      </c>
      <c r="J535" s="134" t="s">
        <v>4</v>
      </c>
      <c r="K535" s="134"/>
      <c r="L535" s="133">
        <f>IF(AND(F535="Yes",G535="Yes",H535="Yes",I535&lt;&gt;"Yes",J535&lt;&gt;"Yes",K535&lt;&gt;"Yes"),0.25,IF(AND(F535="Yes",G535="Yes",H535="Yes",I535="Yes",J535&lt;&gt;"Yes",K535&lt;&gt;"Yes"),0.5,IF(AND(F535="Yes",G535="Yes",H535="Yes",I535="Yes",J535="Yes",K535&lt;&gt;"Yes"),0.75,IF(AND(F535="Yes",G535="Yes",H535="Yes",I535="Yes",J535="Yes",K535="Yes"),1,0))))</f>
        <v>0.5</v>
      </c>
      <c r="M535" s="778"/>
      <c r="N535" s="689"/>
    </row>
    <row r="536" spans="1:25" ht="19.95" hidden="1" customHeight="1" outlineLevel="1" x14ac:dyDescent="0.35">
      <c r="A536" s="9"/>
      <c r="B536" s="730" t="str">
        <f>$B$471</f>
        <v>Financial sector stock</v>
      </c>
      <c r="C536" s="717" t="str">
        <f>IF('[2]Site information'!C475="","",'[2]Site information'!C475)</f>
        <v/>
      </c>
      <c r="D536" s="131">
        <f>$D$471</f>
        <v>40000</v>
      </c>
      <c r="E536" s="131">
        <f>$E$471</f>
        <v>250</v>
      </c>
      <c r="F536" s="134" t="s">
        <v>3</v>
      </c>
      <c r="G536" s="134" t="s">
        <v>3</v>
      </c>
      <c r="H536" s="134" t="s">
        <v>3</v>
      </c>
      <c r="I536" s="134" t="s">
        <v>3</v>
      </c>
      <c r="J536" s="134" t="s">
        <v>3</v>
      </c>
      <c r="K536" s="134" t="s">
        <v>4</v>
      </c>
      <c r="L536" s="133">
        <f>IF(AND(F536="Yes",G536="Yes",H536="Yes",I536&lt;&gt;"Yes",J536&lt;&gt;"Yes",K536&lt;&gt;"Yes"),0.25,IF(AND(F536="Yes",G536="Yes",H536="Yes",I536="Yes",J536&lt;&gt;"Yes",K536&lt;&gt;"Yes"),0.5,IF(AND(F536="Yes",G536="Yes",H536="Yes",I536="Yes",J536="Yes",K536&lt;&gt;"Yes"),0.75,IF(AND(F536="Yes",G536="Yes",H536="Yes",I536="Yes",J536="Yes",K536="Yes"),1,0))))</f>
        <v>0.75</v>
      </c>
      <c r="M536" s="778"/>
      <c r="N536" s="689"/>
    </row>
    <row r="537" spans="1:25" ht="19.95" hidden="1" customHeight="1" outlineLevel="1" x14ac:dyDescent="0.35">
      <c r="A537" s="9"/>
      <c r="B537" s="730" t="str">
        <f>$B$472</f>
        <v>Corporate bonds</v>
      </c>
      <c r="C537" s="717"/>
      <c r="D537" s="131">
        <f>$D$472</f>
        <v>1000000</v>
      </c>
      <c r="E537" s="131">
        <f>$E$472</f>
        <v>365</v>
      </c>
      <c r="F537" s="134" t="s">
        <v>3</v>
      </c>
      <c r="G537" s="134" t="s">
        <v>3</v>
      </c>
      <c r="H537" s="134" t="s">
        <v>3</v>
      </c>
      <c r="I537" s="134" t="s">
        <v>4</v>
      </c>
      <c r="J537" s="134"/>
      <c r="K537" s="134"/>
      <c r="L537" s="133">
        <f>IF(AND(F537="Yes",G537="Yes",H537="Yes",I537&lt;&gt;"Yes",J537&lt;&gt;"Yes",K537&lt;&gt;"Yes"),0.25,IF(AND(F537="Yes",G537="Yes",H537="Yes",I537="Yes",J537&lt;&gt;"Yes",K537&lt;&gt;"Yes"),0.5,IF(AND(F537="Yes",G537="Yes",H537="Yes",I537="Yes",J537="Yes",K537&lt;&gt;"Yes"),0.75,IF(AND(F537="Yes",G537="Yes",H537="Yes",I537="Yes",J537="Yes",K537="Yes"),1,0))))</f>
        <v>0.25</v>
      </c>
      <c r="M537" s="778"/>
      <c r="N537" s="689"/>
    </row>
    <row r="538" spans="1:25" ht="19.95" hidden="1" customHeight="1" outlineLevel="1" x14ac:dyDescent="0.35">
      <c r="A538" s="128"/>
      <c r="B538" s="730" t="str">
        <f>$B$473</f>
        <v>Company's own stock</v>
      </c>
      <c r="C538" s="717"/>
      <c r="D538" s="132">
        <f>$D$473</f>
        <v>600000</v>
      </c>
      <c r="E538" s="131">
        <f>$E$473</f>
        <v>365</v>
      </c>
      <c r="F538" s="130" t="s">
        <v>3</v>
      </c>
      <c r="G538" s="130" t="s">
        <v>3</v>
      </c>
      <c r="H538" s="130" t="s">
        <v>3</v>
      </c>
      <c r="I538" s="130" t="s">
        <v>3</v>
      </c>
      <c r="J538" s="130" t="s">
        <v>3</v>
      </c>
      <c r="K538" s="130" t="s">
        <v>3</v>
      </c>
      <c r="L538" s="129">
        <f>IF(AND(F538="Yes",G538="Yes",H538="Yes",I538&lt;&gt;"Yes",J538&lt;&gt;"Yes",K538&lt;&gt;"Yes"),0.25,IF(AND(F538="Yes",G538="Yes",H538="Yes",I538="Yes",J538&lt;&gt;"Yes",K538&lt;&gt;"Yes"),0.5,IF(AND(F538="Yes",G538="Yes",H538="Yes",I538="Yes",J538="Yes",K538&lt;&gt;"Yes"),0.75,IF(AND(F538="Yes",G538="Yes",H538="Yes",I538="Yes",J538="Yes",K538="Yes"),1,0))))</f>
        <v>1</v>
      </c>
      <c r="M538" s="899"/>
      <c r="N538" s="753"/>
    </row>
    <row r="539" spans="1:25" s="1" customFormat="1" ht="19.95" hidden="1" customHeight="1" outlineLevel="1" x14ac:dyDescent="0.35">
      <c r="A539" s="128"/>
      <c r="B539" s="127" t="s">
        <v>148</v>
      </c>
      <c r="C539" s="126"/>
      <c r="D539" s="125">
        <f>SUM(D534:D538)</f>
        <v>2340000</v>
      </c>
      <c r="E539" s="11"/>
      <c r="F539" s="11"/>
      <c r="G539" s="11"/>
      <c r="H539" s="11"/>
      <c r="I539" s="11"/>
      <c r="J539" s="11"/>
      <c r="K539" s="11"/>
      <c r="L539" s="124">
        <f>IF(D539=0,1,IF(COUNTIF(D534:D538,"&gt;0")=0,"",SUMPRODUCT(D534:D538,E534:E538,L534:L538)/SUMPRODUCT(D534:D538,E534:E538)))</f>
        <v>0.48686079545454547</v>
      </c>
      <c r="M539" s="11"/>
      <c r="N539" s="11"/>
      <c r="R539" s="4"/>
      <c r="S539" s="4"/>
      <c r="T539" s="4"/>
      <c r="U539" s="4"/>
      <c r="V539" s="4"/>
      <c r="X539" s="4"/>
      <c r="Y539" s="4"/>
    </row>
    <row r="540" spans="1:25" collapsed="1" x14ac:dyDescent="0.35">
      <c r="E540" s="11"/>
      <c r="F540" s="11"/>
      <c r="G540" s="11"/>
      <c r="H540" s="11"/>
      <c r="I540" s="11"/>
      <c r="J540" s="11"/>
      <c r="K540" s="11"/>
      <c r="L540" s="11"/>
      <c r="M540" s="11"/>
      <c r="N540" s="11"/>
      <c r="O540" s="11"/>
    </row>
    <row r="541" spans="1:25" ht="19.95" customHeight="1" x14ac:dyDescent="0.35">
      <c r="B541" s="585" t="s">
        <v>0</v>
      </c>
      <c r="C541" s="585"/>
      <c r="D541" s="586"/>
      <c r="E541" s="586"/>
      <c r="F541" s="586"/>
      <c r="G541" s="586"/>
      <c r="H541" s="586"/>
    </row>
    <row r="542" spans="1:25" ht="19.95" customHeight="1" x14ac:dyDescent="0.35">
      <c r="B542" s="910" t="s">
        <v>23</v>
      </c>
      <c r="C542" s="911"/>
      <c r="D542" s="911"/>
      <c r="E542" s="911"/>
      <c r="F542" s="911"/>
      <c r="G542" s="911"/>
      <c r="H542" s="912"/>
      <c r="I542" s="1"/>
    </row>
    <row r="543" spans="1:25" ht="19.95" customHeight="1" x14ac:dyDescent="0.35">
      <c r="B543" s="913" t="s">
        <v>32</v>
      </c>
      <c r="C543" s="914"/>
      <c r="D543" s="914"/>
      <c r="E543" s="914"/>
      <c r="F543" s="914"/>
      <c r="G543" s="914"/>
      <c r="H543" s="915"/>
      <c r="I543" s="1"/>
    </row>
    <row r="544" spans="1:25" ht="19.95" customHeight="1" x14ac:dyDescent="0.35">
      <c r="B544" s="906" t="s">
        <v>42</v>
      </c>
      <c r="C544" s="907"/>
      <c r="D544" s="907"/>
      <c r="E544" s="907"/>
      <c r="F544" s="907"/>
      <c r="G544" s="907"/>
      <c r="H544" s="908"/>
      <c r="I544" s="1"/>
    </row>
  </sheetData>
  <mergeCells count="917">
    <mergeCell ref="C41:D41"/>
    <mergeCell ref="C38:D38"/>
    <mergeCell ref="C37:D37"/>
    <mergeCell ref="C36:D36"/>
    <mergeCell ref="C35:D35"/>
    <mergeCell ref="C34:D34"/>
    <mergeCell ref="C33:D33"/>
    <mergeCell ref="C30:D30"/>
    <mergeCell ref="C31:D31"/>
    <mergeCell ref="C23:D23"/>
    <mergeCell ref="C24:D24"/>
    <mergeCell ref="C26:D26"/>
    <mergeCell ref="C27:D27"/>
    <mergeCell ref="C28:D28"/>
    <mergeCell ref="C39:D39"/>
    <mergeCell ref="C40:D40"/>
    <mergeCell ref="R264:S264"/>
    <mergeCell ref="B258:J258"/>
    <mergeCell ref="B259:J259"/>
    <mergeCell ref="J230:J231"/>
    <mergeCell ref="N238:O238"/>
    <mergeCell ref="N239:O239"/>
    <mergeCell ref="N240:O240"/>
    <mergeCell ref="B224:D224"/>
    <mergeCell ref="B210:D210"/>
    <mergeCell ref="J210:K210"/>
    <mergeCell ref="J211:K211"/>
    <mergeCell ref="J212:K212"/>
    <mergeCell ref="J214:K214"/>
    <mergeCell ref="J213:K213"/>
    <mergeCell ref="J215:K215"/>
    <mergeCell ref="B222:D222"/>
    <mergeCell ref="Q260:Q261"/>
    <mergeCell ref="R260:S261"/>
    <mergeCell ref="O260:P260"/>
    <mergeCell ref="B223:D223"/>
    <mergeCell ref="B221:J221"/>
    <mergeCell ref="I222:J222"/>
    <mergeCell ref="I223:J223"/>
    <mergeCell ref="B250:C250"/>
    <mergeCell ref="B542:H542"/>
    <mergeCell ref="B543:H543"/>
    <mergeCell ref="R265:S265"/>
    <mergeCell ref="R262:S262"/>
    <mergeCell ref="R263:S263"/>
    <mergeCell ref="R266:S266"/>
    <mergeCell ref="M537:N537"/>
    <mergeCell ref="M538:N538"/>
    <mergeCell ref="M516:N517"/>
    <mergeCell ref="M518:N518"/>
    <mergeCell ref="M519:N519"/>
    <mergeCell ref="M520:N520"/>
    <mergeCell ref="M511:N511"/>
    <mergeCell ref="M527:N527"/>
    <mergeCell ref="M528:N528"/>
    <mergeCell ref="M529:N529"/>
    <mergeCell ref="E516:K516"/>
    <mergeCell ref="B544:H544"/>
    <mergeCell ref="B260:B261"/>
    <mergeCell ref="C260:D261"/>
    <mergeCell ref="E260:E261"/>
    <mergeCell ref="F260:F261"/>
    <mergeCell ref="G260:H260"/>
    <mergeCell ref="M530:N530"/>
    <mergeCell ref="M532:N533"/>
    <mergeCell ref="M534:N534"/>
    <mergeCell ref="M535:N535"/>
    <mergeCell ref="M536:N536"/>
    <mergeCell ref="B541:H541"/>
    <mergeCell ref="M522:N522"/>
    <mergeCell ref="M524:N525"/>
    <mergeCell ref="M526:N526"/>
    <mergeCell ref="K260:L260"/>
    <mergeCell ref="M260:N260"/>
    <mergeCell ref="M500:N501"/>
    <mergeCell ref="F268:G268"/>
    <mergeCell ref="B479:C479"/>
    <mergeCell ref="B461:D461"/>
    <mergeCell ref="M495:N495"/>
    <mergeCell ref="C263:D263"/>
    <mergeCell ref="C264:D264"/>
    <mergeCell ref="E532:K532"/>
    <mergeCell ref="L524:L525"/>
    <mergeCell ref="F461:G461"/>
    <mergeCell ref="I420:J420"/>
    <mergeCell ref="I421:J421"/>
    <mergeCell ref="E508:K508"/>
    <mergeCell ref="L532:L533"/>
    <mergeCell ref="M512:N512"/>
    <mergeCell ref="M513:N513"/>
    <mergeCell ref="M514:N514"/>
    <mergeCell ref="M521:N521"/>
    <mergeCell ref="M503:N503"/>
    <mergeCell ref="M504:N504"/>
    <mergeCell ref="M505:N505"/>
    <mergeCell ref="M506:N506"/>
    <mergeCell ref="M508:N509"/>
    <mergeCell ref="M510:N510"/>
    <mergeCell ref="L516:L517"/>
    <mergeCell ref="M494:N494"/>
    <mergeCell ref="L484:L485"/>
    <mergeCell ref="E484:K484"/>
    <mergeCell ref="L500:L501"/>
    <mergeCell ref="L508:L509"/>
    <mergeCell ref="M496:N496"/>
    <mergeCell ref="M497:N497"/>
    <mergeCell ref="M498:N498"/>
    <mergeCell ref="M502:N502"/>
    <mergeCell ref="L492:L493"/>
    <mergeCell ref="B496:C496"/>
    <mergeCell ref="B497:C497"/>
    <mergeCell ref="B498:C498"/>
    <mergeCell ref="E524:K524"/>
    <mergeCell ref="M480:N480"/>
    <mergeCell ref="M481:N481"/>
    <mergeCell ref="M482:N482"/>
    <mergeCell ref="M484:N485"/>
    <mergeCell ref="M492:N493"/>
    <mergeCell ref="M488:N488"/>
    <mergeCell ref="M489:N489"/>
    <mergeCell ref="M490:N490"/>
    <mergeCell ref="M486:N486"/>
    <mergeCell ref="M487:N487"/>
    <mergeCell ref="B501:C501"/>
    <mergeCell ref="B508:D508"/>
    <mergeCell ref="B510:C510"/>
    <mergeCell ref="E500:K500"/>
    <mergeCell ref="B504:C504"/>
    <mergeCell ref="B495:C495"/>
    <mergeCell ref="B489:C489"/>
    <mergeCell ref="B482:C482"/>
    <mergeCell ref="B484:D484"/>
    <mergeCell ref="B486:C486"/>
    <mergeCell ref="B487:C487"/>
    <mergeCell ref="E492:K492"/>
    <mergeCell ref="B379:C379"/>
    <mergeCell ref="F384:G384"/>
    <mergeCell ref="B377:C377"/>
    <mergeCell ref="B414:C416"/>
    <mergeCell ref="I463:I464"/>
    <mergeCell ref="J463:J464"/>
    <mergeCell ref="I457:J457"/>
    <mergeCell ref="I458:J458"/>
    <mergeCell ref="B480:C480"/>
    <mergeCell ref="B481:C481"/>
    <mergeCell ref="B387:C389"/>
    <mergeCell ref="D387:E389"/>
    <mergeCell ref="F387:F389"/>
    <mergeCell ref="K420:N420"/>
    <mergeCell ref="K421:N421"/>
    <mergeCell ref="G419:H419"/>
    <mergeCell ref="K416:N416"/>
    <mergeCell ref="J409:J410"/>
    <mergeCell ref="J327:J328"/>
    <mergeCell ref="F383:G383"/>
    <mergeCell ref="B378:C378"/>
    <mergeCell ref="B494:C494"/>
    <mergeCell ref="B488:C488"/>
    <mergeCell ref="B485:C485"/>
    <mergeCell ref="B493:C493"/>
    <mergeCell ref="F269:G269"/>
    <mergeCell ref="B447:D447"/>
    <mergeCell ref="B448:D448"/>
    <mergeCell ref="E331:F331"/>
    <mergeCell ref="G331:H331"/>
    <mergeCell ref="B294:C294"/>
    <mergeCell ref="B295:C295"/>
    <mergeCell ref="B292:C292"/>
    <mergeCell ref="B293:C293"/>
    <mergeCell ref="B373:C375"/>
    <mergeCell ref="D373:D375"/>
    <mergeCell ref="F440:H440"/>
    <mergeCell ref="B444:D444"/>
    <mergeCell ref="F443:H443"/>
    <mergeCell ref="B419:C419"/>
    <mergeCell ref="B296:C296"/>
    <mergeCell ref="E319:F319"/>
    <mergeCell ref="G319:H319"/>
    <mergeCell ref="F290:F291"/>
    <mergeCell ref="G290:J291"/>
    <mergeCell ref="G292:J292"/>
    <mergeCell ref="G293:J293"/>
    <mergeCell ref="B303:C305"/>
    <mergeCell ref="I369:I370"/>
    <mergeCell ref="M478:N478"/>
    <mergeCell ref="M469:N469"/>
    <mergeCell ref="M470:N470"/>
    <mergeCell ref="M471:N471"/>
    <mergeCell ref="M472:N472"/>
    <mergeCell ref="M473:N473"/>
    <mergeCell ref="M476:N477"/>
    <mergeCell ref="D393:E393"/>
    <mergeCell ref="B451:H452"/>
    <mergeCell ref="B471:C471"/>
    <mergeCell ref="B475:G475"/>
    <mergeCell ref="E467:K467"/>
    <mergeCell ref="B478:C478"/>
    <mergeCell ref="I459:J459"/>
    <mergeCell ref="B454:J454"/>
    <mergeCell ref="B466:J466"/>
    <mergeCell ref="B463:H464"/>
    <mergeCell ref="I248:J248"/>
    <mergeCell ref="I249:J249"/>
    <mergeCell ref="I250:J250"/>
    <mergeCell ref="I251:J251"/>
    <mergeCell ref="I414:J414"/>
    <mergeCell ref="K414:N414"/>
    <mergeCell ref="B397:J397"/>
    <mergeCell ref="B396:J396"/>
    <mergeCell ref="G398:H398"/>
    <mergeCell ref="I398:J398"/>
    <mergeCell ref="K319:L319"/>
    <mergeCell ref="M317:M319"/>
    <mergeCell ref="B315:J315"/>
    <mergeCell ref="B317:C319"/>
    <mergeCell ref="E317:F317"/>
    <mergeCell ref="G317:H317"/>
    <mergeCell ref="F255:G255"/>
    <mergeCell ref="F256:G256"/>
    <mergeCell ref="B350:D350"/>
    <mergeCell ref="B348:D348"/>
    <mergeCell ref="B341:H342"/>
    <mergeCell ref="B349:D349"/>
    <mergeCell ref="B351:D351"/>
    <mergeCell ref="J341:J342"/>
    <mergeCell ref="L476:L477"/>
    <mergeCell ref="K398:L398"/>
    <mergeCell ref="M398:N398"/>
    <mergeCell ref="M467:N468"/>
    <mergeCell ref="E476:K476"/>
    <mergeCell ref="B433:E433"/>
    <mergeCell ref="F442:H442"/>
    <mergeCell ref="B427:J427"/>
    <mergeCell ref="F407:G407"/>
    <mergeCell ref="B440:D440"/>
    <mergeCell ref="B441:D441"/>
    <mergeCell ref="B428:E428"/>
    <mergeCell ref="B429:E429"/>
    <mergeCell ref="B430:E430"/>
    <mergeCell ref="B431:E431"/>
    <mergeCell ref="B432:E432"/>
    <mergeCell ref="I456:K456"/>
    <mergeCell ref="F457:G457"/>
    <mergeCell ref="B457:D457"/>
    <mergeCell ref="B477:C477"/>
    <mergeCell ref="F460:G460"/>
    <mergeCell ref="B442:D442"/>
    <mergeCell ref="B443:D443"/>
    <mergeCell ref="J444:L444"/>
    <mergeCell ref="B470:C470"/>
    <mergeCell ref="P419:Q419"/>
    <mergeCell ref="P420:Q420"/>
    <mergeCell ref="P421:Q421"/>
    <mergeCell ref="L467:L468"/>
    <mergeCell ref="B411:J412"/>
    <mergeCell ref="I455:K455"/>
    <mergeCell ref="I451:I452"/>
    <mergeCell ref="J451:J452"/>
    <mergeCell ref="B453:J453"/>
    <mergeCell ref="B446:D446"/>
    <mergeCell ref="G420:H420"/>
    <mergeCell ref="G421:H421"/>
    <mergeCell ref="I419:J419"/>
    <mergeCell ref="B413:J413"/>
    <mergeCell ref="B418:C418"/>
    <mergeCell ref="B455:E455"/>
    <mergeCell ref="F455:H455"/>
    <mergeCell ref="E417:F417"/>
    <mergeCell ref="E418:F418"/>
    <mergeCell ref="K419:N419"/>
    <mergeCell ref="J443:L443"/>
    <mergeCell ref="F444:H444"/>
    <mergeCell ref="W366:X366"/>
    <mergeCell ref="H373:I373"/>
    <mergeCell ref="H375:I375"/>
    <mergeCell ref="J375:M375"/>
    <mergeCell ref="J373:M373"/>
    <mergeCell ref="U390:V390"/>
    <mergeCell ref="U391:V391"/>
    <mergeCell ref="U392:V392"/>
    <mergeCell ref="P388:P389"/>
    <mergeCell ref="L388:M388"/>
    <mergeCell ref="S387:S389"/>
    <mergeCell ref="T387:T389"/>
    <mergeCell ref="P373:Q373"/>
    <mergeCell ref="P375:Q375"/>
    <mergeCell ref="R373:R375"/>
    <mergeCell ref="S373:T375"/>
    <mergeCell ref="S376:T376"/>
    <mergeCell ref="S377:T377"/>
    <mergeCell ref="S378:T378"/>
    <mergeCell ref="S379:T379"/>
    <mergeCell ref="S380:T380"/>
    <mergeCell ref="G387:O387"/>
    <mergeCell ref="P387:R387"/>
    <mergeCell ref="B371:J371"/>
    <mergeCell ref="W359:X361"/>
    <mergeCell ref="W362:X362"/>
    <mergeCell ref="W364:X364"/>
    <mergeCell ref="W365:X365"/>
    <mergeCell ref="N320:O320"/>
    <mergeCell ref="N321:O321"/>
    <mergeCell ref="N322:O322"/>
    <mergeCell ref="N323:O323"/>
    <mergeCell ref="N324:O324"/>
    <mergeCell ref="S335:T335"/>
    <mergeCell ref="S336:T336"/>
    <mergeCell ref="S337:T337"/>
    <mergeCell ref="W363:X363"/>
    <mergeCell ref="P359:S359"/>
    <mergeCell ref="P361:S361"/>
    <mergeCell ref="T359:U359"/>
    <mergeCell ref="T361:U361"/>
    <mergeCell ref="R331:R333"/>
    <mergeCell ref="S331:T333"/>
    <mergeCell ref="S334:T334"/>
    <mergeCell ref="U393:V393"/>
    <mergeCell ref="U394:V394"/>
    <mergeCell ref="U387:V389"/>
    <mergeCell ref="Q388:Q389"/>
    <mergeCell ref="R388:R389"/>
    <mergeCell ref="J388:K388"/>
    <mergeCell ref="N331:Q331"/>
    <mergeCell ref="N333:Q333"/>
    <mergeCell ref="N317:O319"/>
    <mergeCell ref="I319:J319"/>
    <mergeCell ref="I317:J317"/>
    <mergeCell ref="K317:L317"/>
    <mergeCell ref="S338:T338"/>
    <mergeCell ref="Q347:S347"/>
    <mergeCell ref="M347:N347"/>
    <mergeCell ref="I341:I342"/>
    <mergeCell ref="I359:O359"/>
    <mergeCell ref="I361:O361"/>
    <mergeCell ref="N388:O388"/>
    <mergeCell ref="I383:I384"/>
    <mergeCell ref="J383:J384"/>
    <mergeCell ref="V359:V361"/>
    <mergeCell ref="I345:J345"/>
    <mergeCell ref="B386:J386"/>
    <mergeCell ref="P303:Q305"/>
    <mergeCell ref="P306:Q306"/>
    <mergeCell ref="P307:Q307"/>
    <mergeCell ref="P308:Q308"/>
    <mergeCell ref="P309:Q309"/>
    <mergeCell ref="P310:Q310"/>
    <mergeCell ref="R280:S280"/>
    <mergeCell ref="R281:S281"/>
    <mergeCell ref="B274:J274"/>
    <mergeCell ref="B289:J289"/>
    <mergeCell ref="L303:M303"/>
    <mergeCell ref="O303:O305"/>
    <mergeCell ref="H305:K305"/>
    <mergeCell ref="L305:M305"/>
    <mergeCell ref="G294:J294"/>
    <mergeCell ref="G295:J295"/>
    <mergeCell ref="G296:J296"/>
    <mergeCell ref="L275:M275"/>
    <mergeCell ref="O275:P275"/>
    <mergeCell ref="O277:P277"/>
    <mergeCell ref="L277:M277"/>
    <mergeCell ref="H277:J277"/>
    <mergeCell ref="E277:G277"/>
    <mergeCell ref="R282:S282"/>
    <mergeCell ref="Q275:Q277"/>
    <mergeCell ref="R275:S277"/>
    <mergeCell ref="R278:S278"/>
    <mergeCell ref="R279:S279"/>
    <mergeCell ref="U349:V349"/>
    <mergeCell ref="U350:V350"/>
    <mergeCell ref="U351:V351"/>
    <mergeCell ref="U352:V352"/>
    <mergeCell ref="I226:J226"/>
    <mergeCell ref="I227:J227"/>
    <mergeCell ref="B233:J233"/>
    <mergeCell ref="B344:J344"/>
    <mergeCell ref="B345:D347"/>
    <mergeCell ref="E345:F345"/>
    <mergeCell ref="E234:G234"/>
    <mergeCell ref="H234:K234"/>
    <mergeCell ref="M234:M235"/>
    <mergeCell ref="N234:O235"/>
    <mergeCell ref="N236:O236"/>
    <mergeCell ref="N237:O237"/>
    <mergeCell ref="T345:T347"/>
    <mergeCell ref="U345:V347"/>
    <mergeCell ref="U348:V348"/>
    <mergeCell ref="I230:I231"/>
    <mergeCell ref="B226:D226"/>
    <mergeCell ref="B243:H244"/>
    <mergeCell ref="F267:G267"/>
    <mergeCell ref="C262:D262"/>
    <mergeCell ref="C265:D265"/>
    <mergeCell ref="I255:I257"/>
    <mergeCell ref="I286:I287"/>
    <mergeCell ref="B238:D238"/>
    <mergeCell ref="B239:D239"/>
    <mergeCell ref="B232:J232"/>
    <mergeCell ref="B230:H231"/>
    <mergeCell ref="I243:I244"/>
    <mergeCell ref="J243:J244"/>
    <mergeCell ref="B245:J245"/>
    <mergeCell ref="B246:J246"/>
    <mergeCell ref="J286:J287"/>
    <mergeCell ref="I247:J247"/>
    <mergeCell ref="J255:J257"/>
    <mergeCell ref="I260:J260"/>
    <mergeCell ref="B247:C247"/>
    <mergeCell ref="B273:J273"/>
    <mergeCell ref="B248:C248"/>
    <mergeCell ref="B249:C249"/>
    <mergeCell ref="B255:E257"/>
    <mergeCell ref="B182:D182"/>
    <mergeCell ref="B180:C180"/>
    <mergeCell ref="B164:C164"/>
    <mergeCell ref="B166:D166"/>
    <mergeCell ref="B167:C167"/>
    <mergeCell ref="B169:C169"/>
    <mergeCell ref="B172:C172"/>
    <mergeCell ref="O180:P180"/>
    <mergeCell ref="I224:J224"/>
    <mergeCell ref="O179:P179"/>
    <mergeCell ref="O176:P176"/>
    <mergeCell ref="B174:D174"/>
    <mergeCell ref="B175:C175"/>
    <mergeCell ref="B176:C176"/>
    <mergeCell ref="O178:P178"/>
    <mergeCell ref="N203:O203"/>
    <mergeCell ref="B177:C177"/>
    <mergeCell ref="B178:C178"/>
    <mergeCell ref="J206:J207"/>
    <mergeCell ref="O184:P184"/>
    <mergeCell ref="O185:P185"/>
    <mergeCell ref="O186:P186"/>
    <mergeCell ref="O187:P187"/>
    <mergeCell ref="O188:P188"/>
    <mergeCell ref="B163:C163"/>
    <mergeCell ref="O164:P164"/>
    <mergeCell ref="O167:P167"/>
    <mergeCell ref="O168:P168"/>
    <mergeCell ref="O169:P169"/>
    <mergeCell ref="O119:P119"/>
    <mergeCell ref="O120:P120"/>
    <mergeCell ref="O148:P148"/>
    <mergeCell ref="O151:P151"/>
    <mergeCell ref="O152:P152"/>
    <mergeCell ref="E150:P150"/>
    <mergeCell ref="O156:P156"/>
    <mergeCell ref="O159:P159"/>
    <mergeCell ref="O160:P160"/>
    <mergeCell ref="E134:P134"/>
    <mergeCell ref="O137:P137"/>
    <mergeCell ref="O138:P138"/>
    <mergeCell ref="O155:P155"/>
    <mergeCell ref="O135:P135"/>
    <mergeCell ref="O136:P136"/>
    <mergeCell ref="O153:P153"/>
    <mergeCell ref="O154:P154"/>
    <mergeCell ref="O143:P143"/>
    <mergeCell ref="O123:P123"/>
    <mergeCell ref="O127:P127"/>
    <mergeCell ref="B183:C183"/>
    <mergeCell ref="B184:C184"/>
    <mergeCell ref="B186:C186"/>
    <mergeCell ref="N200:O200"/>
    <mergeCell ref="N201:O201"/>
    <mergeCell ref="N202:O202"/>
    <mergeCell ref="B158:D158"/>
    <mergeCell ref="B159:C159"/>
    <mergeCell ref="B160:C160"/>
    <mergeCell ref="B162:C162"/>
    <mergeCell ref="B168:C168"/>
    <mergeCell ref="B170:C170"/>
    <mergeCell ref="B171:C171"/>
    <mergeCell ref="O175:P175"/>
    <mergeCell ref="B161:C161"/>
    <mergeCell ref="E166:P166"/>
    <mergeCell ref="O161:P161"/>
    <mergeCell ref="O162:P162"/>
    <mergeCell ref="O163:P163"/>
    <mergeCell ref="O170:P170"/>
    <mergeCell ref="O171:P171"/>
    <mergeCell ref="O172:P172"/>
    <mergeCell ref="O177:P177"/>
    <mergeCell ref="B188:C188"/>
    <mergeCell ref="B201:D201"/>
    <mergeCell ref="E197:G197"/>
    <mergeCell ref="I206:I207"/>
    <mergeCell ref="B206:H207"/>
    <mergeCell ref="B200:D200"/>
    <mergeCell ref="B196:J196"/>
    <mergeCell ref="B194:J195"/>
    <mergeCell ref="H197:J197"/>
    <mergeCell ref="B202:D202"/>
    <mergeCell ref="O183:P183"/>
    <mergeCell ref="B185:C185"/>
    <mergeCell ref="B179:C179"/>
    <mergeCell ref="B76:D76"/>
    <mergeCell ref="I85:I86"/>
    <mergeCell ref="B99:H100"/>
    <mergeCell ref="B209:J209"/>
    <mergeCell ref="B197:D198"/>
    <mergeCell ref="B101:J102"/>
    <mergeCell ref="B89:J89"/>
    <mergeCell ref="B118:C118"/>
    <mergeCell ref="B119:C119"/>
    <mergeCell ref="B120:C120"/>
    <mergeCell ref="B117:D117"/>
    <mergeCell ref="B90:D91"/>
    <mergeCell ref="B93:D93"/>
    <mergeCell ref="B94:D94"/>
    <mergeCell ref="B95:D95"/>
    <mergeCell ref="E117:P117"/>
    <mergeCell ref="O145:P145"/>
    <mergeCell ref="O146:P146"/>
    <mergeCell ref="O147:P147"/>
    <mergeCell ref="K197:M197"/>
    <mergeCell ref="O122:P122"/>
    <mergeCell ref="O128:P128"/>
    <mergeCell ref="O132:P132"/>
    <mergeCell ref="B191:F193"/>
    <mergeCell ref="B60:G60"/>
    <mergeCell ref="B61:G61"/>
    <mergeCell ref="B62:G62"/>
    <mergeCell ref="H50:J50"/>
    <mergeCell ref="B128:C128"/>
    <mergeCell ref="I99:I100"/>
    <mergeCell ref="B115:J115"/>
    <mergeCell ref="B107:D107"/>
    <mergeCell ref="B108:D108"/>
    <mergeCell ref="B109:D109"/>
    <mergeCell ref="B110:D110"/>
    <mergeCell ref="J99:J100"/>
    <mergeCell ref="B104:D105"/>
    <mergeCell ref="B121:C121"/>
    <mergeCell ref="H81:J81"/>
    <mergeCell ref="E90:M90"/>
    <mergeCell ref="B126:D126"/>
    <mergeCell ref="B116:J116"/>
    <mergeCell ref="B113:H114"/>
    <mergeCell ref="B187:C187"/>
    <mergeCell ref="I113:I114"/>
    <mergeCell ref="B48:H48"/>
    <mergeCell ref="B49:J49"/>
    <mergeCell ref="Q90:R91"/>
    <mergeCell ref="N90:P90"/>
    <mergeCell ref="J85:J86"/>
    <mergeCell ref="B85:F86"/>
    <mergeCell ref="B87:J88"/>
    <mergeCell ref="B57:G57"/>
    <mergeCell ref="B58:G58"/>
    <mergeCell ref="B59:G59"/>
    <mergeCell ref="B55:G55"/>
    <mergeCell ref="B50:G51"/>
    <mergeCell ref="B52:G52"/>
    <mergeCell ref="B53:G53"/>
    <mergeCell ref="B54:G54"/>
    <mergeCell ref="B56:G56"/>
    <mergeCell ref="H76:J76"/>
    <mergeCell ref="H77:J77"/>
    <mergeCell ref="H78:J78"/>
    <mergeCell ref="H79:J79"/>
    <mergeCell ref="B77:D77"/>
    <mergeCell ref="B78:D78"/>
    <mergeCell ref="B79:D79"/>
    <mergeCell ref="H80:J80"/>
    <mergeCell ref="A338:A339"/>
    <mergeCell ref="B338:C338"/>
    <mergeCell ref="B329:J329"/>
    <mergeCell ref="B330:J330"/>
    <mergeCell ref="B331:C333"/>
    <mergeCell ref="D331:D333"/>
    <mergeCell ref="B364:C364"/>
    <mergeCell ref="B334:C334"/>
    <mergeCell ref="B321:C321"/>
    <mergeCell ref="B322:C322"/>
    <mergeCell ref="B323:C323"/>
    <mergeCell ref="B355:H356"/>
    <mergeCell ref="B363:C363"/>
    <mergeCell ref="E333:F333"/>
    <mergeCell ref="G333:H333"/>
    <mergeCell ref="B359:C361"/>
    <mergeCell ref="B336:C336"/>
    <mergeCell ref="B335:C335"/>
    <mergeCell ref="B337:C337"/>
    <mergeCell ref="B327:H328"/>
    <mergeCell ref="I327:I328"/>
    <mergeCell ref="A352:A353"/>
    <mergeCell ref="B352:D352"/>
    <mergeCell ref="D359:D361"/>
    <mergeCell ref="B538:C538"/>
    <mergeCell ref="B502:C502"/>
    <mergeCell ref="B503:C503"/>
    <mergeCell ref="B456:E456"/>
    <mergeCell ref="F456:H456"/>
    <mergeCell ref="B445:D445"/>
    <mergeCell ref="B434:E434"/>
    <mergeCell ref="F441:H441"/>
    <mergeCell ref="B458:D458"/>
    <mergeCell ref="B459:D459"/>
    <mergeCell ref="B460:D460"/>
    <mergeCell ref="B517:C517"/>
    <mergeCell ref="B525:C525"/>
    <mergeCell ref="B533:C533"/>
    <mergeCell ref="B472:C472"/>
    <mergeCell ref="B490:C490"/>
    <mergeCell ref="B492:D492"/>
    <mergeCell ref="B505:C505"/>
    <mergeCell ref="B506:C506"/>
    <mergeCell ref="B465:J465"/>
    <mergeCell ref="B500:D500"/>
    <mergeCell ref="B532:D532"/>
    <mergeCell ref="B534:C534"/>
    <mergeCell ref="B535:C535"/>
    <mergeCell ref="B537:C537"/>
    <mergeCell ref="B536:C536"/>
    <mergeCell ref="B527:C527"/>
    <mergeCell ref="B528:C528"/>
    <mergeCell ref="B529:C529"/>
    <mergeCell ref="B530:C530"/>
    <mergeCell ref="B509:C509"/>
    <mergeCell ref="B526:C526"/>
    <mergeCell ref="B518:C518"/>
    <mergeCell ref="B519:C519"/>
    <mergeCell ref="B520:C520"/>
    <mergeCell ref="B511:C511"/>
    <mergeCell ref="B522:C522"/>
    <mergeCell ref="B524:D524"/>
    <mergeCell ref="B521:C521"/>
    <mergeCell ref="B516:D516"/>
    <mergeCell ref="B512:C512"/>
    <mergeCell ref="B513:C513"/>
    <mergeCell ref="B514:C514"/>
    <mergeCell ref="M479:N479"/>
    <mergeCell ref="I460:J460"/>
    <mergeCell ref="F458:G458"/>
    <mergeCell ref="F459:G459"/>
    <mergeCell ref="B365:C365"/>
    <mergeCell ref="A473:A475"/>
    <mergeCell ref="B473:C473"/>
    <mergeCell ref="B476:D476"/>
    <mergeCell ref="B467:D467"/>
    <mergeCell ref="B468:C468"/>
    <mergeCell ref="B469:C469"/>
    <mergeCell ref="B417:C417"/>
    <mergeCell ref="B435:E435"/>
    <mergeCell ref="B436:E436"/>
    <mergeCell ref="B424:H425"/>
    <mergeCell ref="B426:J426"/>
    <mergeCell ref="B439:E439"/>
    <mergeCell ref="B438:M438"/>
    <mergeCell ref="E419:F419"/>
    <mergeCell ref="E420:F420"/>
    <mergeCell ref="E421:F421"/>
    <mergeCell ref="B421:C421"/>
    <mergeCell ref="J439:M439"/>
    <mergeCell ref="B449:D449"/>
    <mergeCell ref="A441:A442"/>
    <mergeCell ref="A421:A422"/>
    <mergeCell ref="B420:C420"/>
    <mergeCell ref="J440:L440"/>
    <mergeCell ref="E359:F359"/>
    <mergeCell ref="G359:H359"/>
    <mergeCell ref="E361:F361"/>
    <mergeCell ref="G361:H361"/>
    <mergeCell ref="I355:I356"/>
    <mergeCell ref="J355:J356"/>
    <mergeCell ref="B357:J357"/>
    <mergeCell ref="B362:C362"/>
    <mergeCell ref="B358:J358"/>
    <mergeCell ref="J441:L441"/>
    <mergeCell ref="J442:L442"/>
    <mergeCell ref="F439:I439"/>
    <mergeCell ref="G416:H416"/>
    <mergeCell ref="G428:H428"/>
    <mergeCell ref="A266:A267"/>
    <mergeCell ref="E290:E291"/>
    <mergeCell ref="E275:G275"/>
    <mergeCell ref="H275:J275"/>
    <mergeCell ref="H283:H284"/>
    <mergeCell ref="B290:C291"/>
    <mergeCell ref="D303:D305"/>
    <mergeCell ref="C266:D266"/>
    <mergeCell ref="A404:A405"/>
    <mergeCell ref="C400:D400"/>
    <mergeCell ref="C401:D401"/>
    <mergeCell ref="C402:D402"/>
    <mergeCell ref="C403:D403"/>
    <mergeCell ref="C404:D404"/>
    <mergeCell ref="A380:A381"/>
    <mergeCell ref="B380:C380"/>
    <mergeCell ref="A394:A395"/>
    <mergeCell ref="D392:E392"/>
    <mergeCell ref="B394:C394"/>
    <mergeCell ref="C398:D399"/>
    <mergeCell ref="B383:E384"/>
    <mergeCell ref="J369:J370"/>
    <mergeCell ref="B376:C376"/>
    <mergeCell ref="B372:J372"/>
    <mergeCell ref="D290:D291"/>
    <mergeCell ref="B286:H287"/>
    <mergeCell ref="B275:C277"/>
    <mergeCell ref="D275:D277"/>
    <mergeCell ref="A282:A283"/>
    <mergeCell ref="B278:C278"/>
    <mergeCell ref="B279:C279"/>
    <mergeCell ref="B280:C280"/>
    <mergeCell ref="B281:C281"/>
    <mergeCell ref="B282:C282"/>
    <mergeCell ref="W104:X105"/>
    <mergeCell ref="W106:X106"/>
    <mergeCell ref="W107:X107"/>
    <mergeCell ref="W108:X108"/>
    <mergeCell ref="W109:X109"/>
    <mergeCell ref="W110:X110"/>
    <mergeCell ref="W111:X111"/>
    <mergeCell ref="E104:E105"/>
    <mergeCell ref="F104:F105"/>
    <mergeCell ref="V104:V105"/>
    <mergeCell ref="H104:M104"/>
    <mergeCell ref="Q104:U104"/>
    <mergeCell ref="N104:P104"/>
    <mergeCell ref="J113:J114"/>
    <mergeCell ref="B103:J103"/>
    <mergeCell ref="B106:D106"/>
    <mergeCell ref="B80:D80"/>
    <mergeCell ref="A96:A97"/>
    <mergeCell ref="B96:D96"/>
    <mergeCell ref="A203:A204"/>
    <mergeCell ref="B203:D203"/>
    <mergeCell ref="A81:A83"/>
    <mergeCell ref="B81:D81"/>
    <mergeCell ref="B82:J82"/>
    <mergeCell ref="B199:D199"/>
    <mergeCell ref="A110:A111"/>
    <mergeCell ref="B92:D92"/>
    <mergeCell ref="B129:C129"/>
    <mergeCell ref="B130:C130"/>
    <mergeCell ref="B144:C144"/>
    <mergeCell ref="E142:P142"/>
    <mergeCell ref="O139:P139"/>
    <mergeCell ref="O140:P140"/>
    <mergeCell ref="B131:C131"/>
    <mergeCell ref="B132:C132"/>
    <mergeCell ref="B134:D134"/>
    <mergeCell ref="A123:A125"/>
    <mergeCell ref="O118:P118"/>
    <mergeCell ref="I191:I193"/>
    <mergeCell ref="J191:J193"/>
    <mergeCell ref="B212:D212"/>
    <mergeCell ref="B213:D213"/>
    <mergeCell ref="B214:D214"/>
    <mergeCell ref="A240:A241"/>
    <mergeCell ref="B240:D240"/>
    <mergeCell ref="B218:H219"/>
    <mergeCell ref="B227:D227"/>
    <mergeCell ref="A226:A227"/>
    <mergeCell ref="B234:D235"/>
    <mergeCell ref="B220:J220"/>
    <mergeCell ref="J218:J219"/>
    <mergeCell ref="E126:P126"/>
    <mergeCell ref="B137:C137"/>
    <mergeCell ref="B138:C138"/>
    <mergeCell ref="B139:C139"/>
    <mergeCell ref="B140:C140"/>
    <mergeCell ref="E158:P158"/>
    <mergeCell ref="O129:P129"/>
    <mergeCell ref="O130:P130"/>
    <mergeCell ref="O121:P121"/>
    <mergeCell ref="B153:C153"/>
    <mergeCell ref="A215:A216"/>
    <mergeCell ref="B215:D215"/>
    <mergeCell ref="D390:E390"/>
    <mergeCell ref="D391:E391"/>
    <mergeCell ref="B301:J301"/>
    <mergeCell ref="H303:K303"/>
    <mergeCell ref="B302:J302"/>
    <mergeCell ref="A310:A311"/>
    <mergeCell ref="B310:C310"/>
    <mergeCell ref="B307:C307"/>
    <mergeCell ref="B308:C308"/>
    <mergeCell ref="B309:C309"/>
    <mergeCell ref="A296:A297"/>
    <mergeCell ref="I299:I300"/>
    <mergeCell ref="A366:A367"/>
    <mergeCell ref="A252:A253"/>
    <mergeCell ref="B252:C252"/>
    <mergeCell ref="B316:J316"/>
    <mergeCell ref="I313:I314"/>
    <mergeCell ref="J313:J314"/>
    <mergeCell ref="B320:C320"/>
    <mergeCell ref="A324:A325"/>
    <mergeCell ref="B324:C324"/>
    <mergeCell ref="F257:G257"/>
    <mergeCell ref="G345:H345"/>
    <mergeCell ref="G347:H347"/>
    <mergeCell ref="F398:F399"/>
    <mergeCell ref="I424:I425"/>
    <mergeCell ref="J424:J425"/>
    <mergeCell ref="I416:J416"/>
    <mergeCell ref="B385:J385"/>
    <mergeCell ref="D394:E394"/>
    <mergeCell ref="G395:J395"/>
    <mergeCell ref="B398:B399"/>
    <mergeCell ref="B390:C390"/>
    <mergeCell ref="B391:C391"/>
    <mergeCell ref="B392:C392"/>
    <mergeCell ref="B393:C393"/>
    <mergeCell ref="E398:E399"/>
    <mergeCell ref="B366:C366"/>
    <mergeCell ref="B369:H370"/>
    <mergeCell ref="B154:C154"/>
    <mergeCell ref="B155:C155"/>
    <mergeCell ref="B156:C156"/>
    <mergeCell ref="O414:O416"/>
    <mergeCell ref="B409:H410"/>
    <mergeCell ref="I409:I410"/>
    <mergeCell ref="F406:G406"/>
    <mergeCell ref="B288:J288"/>
    <mergeCell ref="J299:J300"/>
    <mergeCell ref="B208:J208"/>
    <mergeCell ref="E174:P174"/>
    <mergeCell ref="E182:P182"/>
    <mergeCell ref="N197:O198"/>
    <mergeCell ref="N199:O199"/>
    <mergeCell ref="D414:D416"/>
    <mergeCell ref="E414:F416"/>
    <mergeCell ref="B211:D211"/>
    <mergeCell ref="I347:J347"/>
    <mergeCell ref="I271:I272"/>
    <mergeCell ref="J271:J272"/>
    <mergeCell ref="B251:C251"/>
    <mergeCell ref="I252:J252"/>
    <mergeCell ref="I225:J225"/>
    <mergeCell ref="B313:H314"/>
    <mergeCell ref="B146:C146"/>
    <mergeCell ref="B148:C148"/>
    <mergeCell ref="B150:D150"/>
    <mergeCell ref="B147:C147"/>
    <mergeCell ref="B152:C152"/>
    <mergeCell ref="B151:C151"/>
    <mergeCell ref="O131:P131"/>
    <mergeCell ref="O144:P144"/>
    <mergeCell ref="B136:C136"/>
    <mergeCell ref="B135:C135"/>
    <mergeCell ref="B46:J46"/>
    <mergeCell ref="P414:Q416"/>
    <mergeCell ref="G414:H414"/>
    <mergeCell ref="P418:Q418"/>
    <mergeCell ref="R398:S399"/>
    <mergeCell ref="R400:S400"/>
    <mergeCell ref="R401:S401"/>
    <mergeCell ref="R402:S402"/>
    <mergeCell ref="R403:S403"/>
    <mergeCell ref="R404:S404"/>
    <mergeCell ref="K417:N417"/>
    <mergeCell ref="K418:N418"/>
    <mergeCell ref="Q398:Q399"/>
    <mergeCell ref="P417:Q417"/>
    <mergeCell ref="O398:P398"/>
    <mergeCell ref="I417:J417"/>
    <mergeCell ref="I418:J418"/>
    <mergeCell ref="G417:H417"/>
    <mergeCell ref="G418:H418"/>
    <mergeCell ref="F405:G405"/>
    <mergeCell ref="B127:C127"/>
    <mergeCell ref="B142:D142"/>
    <mergeCell ref="B143:C143"/>
    <mergeCell ref="B145:C145"/>
    <mergeCell ref="C20:D20"/>
    <mergeCell ref="C22:D22"/>
    <mergeCell ref="B306:C306"/>
    <mergeCell ref="B299:H300"/>
    <mergeCell ref="B271:H272"/>
    <mergeCell ref="D317:D319"/>
    <mergeCell ref="B343:J343"/>
    <mergeCell ref="B236:D236"/>
    <mergeCell ref="B237:D237"/>
    <mergeCell ref="B75:J75"/>
    <mergeCell ref="C65:J65"/>
    <mergeCell ref="C66:J66"/>
    <mergeCell ref="C67:J67"/>
    <mergeCell ref="C68:J68"/>
    <mergeCell ref="C69:J69"/>
    <mergeCell ref="C70:J70"/>
    <mergeCell ref="B63:I63"/>
    <mergeCell ref="B64:H64"/>
    <mergeCell ref="B74:J74"/>
    <mergeCell ref="B45:J45"/>
    <mergeCell ref="B73:H73"/>
    <mergeCell ref="B122:C122"/>
    <mergeCell ref="B123:C123"/>
    <mergeCell ref="B125:G125"/>
    <mergeCell ref="C7:D7"/>
    <mergeCell ref="C29:D29"/>
    <mergeCell ref="I218:I219"/>
    <mergeCell ref="B225:D225"/>
    <mergeCell ref="B2:J2"/>
    <mergeCell ref="B3:H3"/>
    <mergeCell ref="I3:J3"/>
    <mergeCell ref="B5:J5"/>
    <mergeCell ref="B43:I43"/>
    <mergeCell ref="B9:J9"/>
    <mergeCell ref="B15:J15"/>
    <mergeCell ref="B21:J21"/>
    <mergeCell ref="B25:J25"/>
    <mergeCell ref="B32:J32"/>
    <mergeCell ref="B6:J6"/>
    <mergeCell ref="C10:D10"/>
    <mergeCell ref="C11:D11"/>
    <mergeCell ref="C12:D12"/>
    <mergeCell ref="C13:D13"/>
    <mergeCell ref="C14:D14"/>
    <mergeCell ref="C16:D16"/>
    <mergeCell ref="C17:D17"/>
    <mergeCell ref="C18:D18"/>
    <mergeCell ref="C19:D19"/>
  </mergeCells>
  <conditionalFormatting sqref="E292:E296 E320:L324 E334:Q338 I248:I252 E362:U366">
    <cfRule type="expression" dxfId="46" priority="102">
      <formula>$F248="Excluded - not relevant"</formula>
    </cfRule>
    <cfRule type="expression" dxfId="45" priority="101">
      <formula>$F248="Excluded - insufficient data"</formula>
    </cfRule>
    <cfRule type="expression" dxfId="44" priority="100">
      <formula>$F248="Excluded - other"</formula>
    </cfRule>
  </conditionalFormatting>
  <conditionalFormatting sqref="E292:E296">
    <cfRule type="expression" dxfId="43" priority="96">
      <formula>ISNA(E292)</formula>
    </cfRule>
  </conditionalFormatting>
  <conditionalFormatting sqref="E362:E366 G362:G366 I362:I366 P362:P366 T362:T366">
    <cfRule type="expression" dxfId="42" priority="103">
      <formula>$E362="Non-renewable resource"</formula>
    </cfRule>
  </conditionalFormatting>
  <conditionalFormatting sqref="E248:G252">
    <cfRule type="expression" dxfId="41" priority="60">
      <formula>#REF!="Excluded - not relevant"</formula>
    </cfRule>
    <cfRule type="expression" dxfId="40" priority="59">
      <formula>#REF!="Excluded - insufficient data"</formula>
    </cfRule>
    <cfRule type="expression" dxfId="39" priority="58">
      <formula>#REF!="Excluded - other"</formula>
    </cfRule>
  </conditionalFormatting>
  <conditionalFormatting sqref="E376:H380">
    <cfRule type="expression" dxfId="38" priority="71">
      <formula>#REF!="Excluded - not relevant"</formula>
    </cfRule>
    <cfRule type="expression" dxfId="37" priority="69">
      <formula>#REF!="Excluded - other"</formula>
    </cfRule>
    <cfRule type="expression" dxfId="36" priority="70">
      <formula>#REF!="Excluded - insufficient data"</formula>
    </cfRule>
  </conditionalFormatting>
  <conditionalFormatting sqref="E278:P282">
    <cfRule type="expression" dxfId="35" priority="98">
      <formula>$F278="Excluded - insufficient data"</formula>
    </cfRule>
    <cfRule type="expression" dxfId="34" priority="99">
      <formula>$F278="Excluded - other"</formula>
    </cfRule>
    <cfRule type="expression" dxfId="33" priority="97">
      <formula>$F278="Excluded - not relevant"</formula>
    </cfRule>
  </conditionalFormatting>
  <conditionalFormatting sqref="F429:F435 B429:B436 E445">
    <cfRule type="expression" dxfId="32" priority="49">
      <formula>$B$20 = "No"</formula>
    </cfRule>
  </conditionalFormatting>
  <conditionalFormatting sqref="F248:G252">
    <cfRule type="expression" dxfId="31" priority="56">
      <formula>#REF!="Non-renewable resource"</formula>
    </cfRule>
  </conditionalFormatting>
  <conditionalFormatting sqref="F376:H380">
    <cfRule type="expression" dxfId="30" priority="66">
      <formula>#REF!="Non-renewable resource"</formula>
    </cfRule>
  </conditionalFormatting>
  <conditionalFormatting sqref="F262:M266">
    <cfRule type="expression" dxfId="29" priority="8">
      <formula>$C262="Service"</formula>
    </cfRule>
  </conditionalFormatting>
  <conditionalFormatting sqref="F400:M404">
    <cfRule type="expression" dxfId="28" priority="29">
      <formula>$C400="Service"</formula>
    </cfRule>
  </conditionalFormatting>
  <conditionalFormatting sqref="F262:R266">
    <cfRule type="expression" dxfId="27" priority="3">
      <formula>$F262="Excluded - other"</formula>
    </cfRule>
    <cfRule type="expression" dxfId="26" priority="4">
      <formula>$F262="Excluded - insufficient data"</formula>
    </cfRule>
    <cfRule type="expression" dxfId="25" priority="5">
      <formula>$F262="Excluded - not relevant"</formula>
    </cfRule>
  </conditionalFormatting>
  <conditionalFormatting sqref="F400:R404">
    <cfRule type="expression" dxfId="24" priority="25">
      <formula>$F400="Excluded - insufficient data"</formula>
    </cfRule>
    <cfRule type="expression" dxfId="23" priority="26">
      <formula>$F400="Excluded - not relevant"</formula>
    </cfRule>
    <cfRule type="expression" dxfId="22" priority="24">
      <formula>$F400="Excluded - other"</formula>
    </cfRule>
  </conditionalFormatting>
  <conditionalFormatting sqref="G320:G324">
    <cfRule type="expression" dxfId="21" priority="92">
      <formula>#REF!="Non-renewable resource"</formula>
    </cfRule>
  </conditionalFormatting>
  <conditionalFormatting sqref="G334:G338">
    <cfRule type="expression" dxfId="20" priority="83">
      <formula>#REF!="Non-renewable resource"</formula>
    </cfRule>
  </conditionalFormatting>
  <conditionalFormatting sqref="G417:G421">
    <cfRule type="expression" dxfId="19" priority="21">
      <formula>#REF!="Non-renewable resource"</formula>
    </cfRule>
  </conditionalFormatting>
  <conditionalFormatting sqref="I320:I324">
    <cfRule type="expression" dxfId="18" priority="90">
      <formula>#REF!="Non-renewable resource"</formula>
    </cfRule>
  </conditionalFormatting>
  <conditionalFormatting sqref="I417:I421">
    <cfRule type="expression" dxfId="17" priority="20">
      <formula>#REF!="Non-renewable resource"</formula>
    </cfRule>
  </conditionalFormatting>
  <conditionalFormatting sqref="I334:N338">
    <cfRule type="expression" dxfId="16" priority="78">
      <formula>#REF!="Non-renewable resource"</formula>
    </cfRule>
  </conditionalFormatting>
  <conditionalFormatting sqref="J376:J380 N376:P380">
    <cfRule type="expression" dxfId="15" priority="68">
      <formula>#REF!="Non-renewable resource"</formula>
    </cfRule>
    <cfRule type="expression" dxfId="14" priority="75">
      <formula>#REF!="Excluded - other"</formula>
    </cfRule>
    <cfRule type="expression" dxfId="13" priority="76">
      <formula>#REF!="Excluded - insufficient data"</formula>
    </cfRule>
    <cfRule type="expression" dxfId="12" priority="77">
      <formula>#REF!="Excluded - not relevant"</formula>
    </cfRule>
  </conditionalFormatting>
  <conditionalFormatting sqref="K320:K324">
    <cfRule type="expression" dxfId="11" priority="91">
      <formula>#REF!="Non-renewable resource"</formula>
    </cfRule>
  </conditionalFormatting>
  <conditionalFormatting sqref="K417:K421">
    <cfRule type="expression" dxfId="10" priority="19">
      <formula>#REF!="Non-renewable resource"</formula>
    </cfRule>
  </conditionalFormatting>
  <conditionalFormatting sqref="N262:R266">
    <cfRule type="expression" dxfId="9" priority="2">
      <formula>$C262="Sold or leased goods"</formula>
    </cfRule>
    <cfRule type="expression" dxfId="8" priority="1">
      <formula>$C262="Supplementary materials delivered to customers"</formula>
    </cfRule>
  </conditionalFormatting>
  <conditionalFormatting sqref="N400:R404">
    <cfRule type="expression" dxfId="7" priority="22">
      <formula>$C400="Supplementary materials delivered to customers"</formula>
    </cfRule>
    <cfRule type="expression" dxfId="6" priority="23">
      <formula>$C400="Sold or leased goods"</formula>
    </cfRule>
  </conditionalFormatting>
  <conditionalFormatting sqref="P417:P421">
    <cfRule type="expression" dxfId="5" priority="42">
      <formula>#REF!="Excluded - not relevant"</formula>
    </cfRule>
    <cfRule type="expression" dxfId="4" priority="41">
      <formula>#REF!="Excluded - insufficient data"</formula>
    </cfRule>
    <cfRule type="expression" dxfId="3" priority="40">
      <formula>#REF!="Excluded - other"</formula>
    </cfRule>
  </conditionalFormatting>
  <conditionalFormatting sqref="S376:S380">
    <cfRule type="expression" dxfId="2" priority="48">
      <formula>$F376="Excluded - not relevant"</formula>
    </cfRule>
    <cfRule type="expression" dxfId="1" priority="46">
      <formula>$F376="Excluded - other"</formula>
    </cfRule>
    <cfRule type="expression" dxfId="0" priority="47">
      <formula>$F376="Excluded - insufficient data"</formula>
    </cfRule>
  </conditionalFormatting>
  <dataValidations disablePrompts="1" count="8">
    <dataValidation type="list" allowBlank="1" sqref="E223:E227" xr:uid="{D5F30AE0-016B-4705-87CE-081076C2D9C2}">
      <formula1>"Site assessed - no waste, Site assessed - waste generated"</formula1>
    </dataValidation>
    <dataValidation type="list" allowBlank="1" showInputMessage="1" showErrorMessage="1" sqref="E119:E123 E128:E132 E136:E140 E144:E148 E152:E156 E160:E164 E168:E172 E176:E180 E184:E188" xr:uid="{1940490B-D312-446B-AD37-FFBD97C32F4F}">
      <formula1>"Outsourced core function, Product input, Ancillary spend"</formula1>
    </dataValidation>
    <dataValidation type="list" allowBlank="1" showErrorMessage="1" sqref="E440:E448 F428:F435 I440:I443 M440:M443 K457:K460 E457:E460 H457:H461" xr:uid="{F04737F5-3CBF-4723-9D29-C1E4A13ED7B5}">
      <formula1>"Yes,No"</formula1>
    </dataValidation>
    <dataValidation type="list" allowBlank="1" sqref="E211:E215" xr:uid="{79A1F284-B7BD-4373-B429-14B0164FFBE6}">
      <formula1>"Yes, No - site has emissions, No - site not yet assessed"</formula1>
    </dataValidation>
    <dataValidation type="list" allowBlank="1" sqref="G106:G110" xr:uid="{FE3F2C23-B714-4566-A1E1-7EFD86F0A9FA}">
      <formula1>"Resource derives from endangered animals or plants, Resource extraction or trade contributes to regional conflict, Resource is obtained in ways that interfere with HCV ecosystems or endangered species, None of the above"</formula1>
    </dataValidation>
    <dataValidation type="list" allowBlank="1" showInputMessage="1" showErrorMessage="1" sqref="F106:F110" xr:uid="{4B25585E-27FD-4FF4-B87F-B08EF1F99B43}">
      <formula1>"Renewable natural resource, Animal, Non-renewable resource"</formula1>
    </dataValidation>
    <dataValidation type="list" allowBlank="1" showInputMessage="1" showErrorMessage="1" sqref="I348:I352 K348:M352 O348:Q352 E348:G352" xr:uid="{3E7DD991-7C41-444C-9BAF-2EC3C22AE1AC}">
      <formula1>"Yes, No"</formula1>
    </dataValidation>
    <dataValidation type="list" allowBlank="1" showInputMessage="1" showErrorMessage="1" sqref="G390:R394 F236:L240 H278:H282 N278:O282 K278:L282 E278:E282 E306:H310 L306:L310 N306:N310 G320:G324 K320:K324 I320:I324 E320:E324 I334:N338 E334:E338 G334:G338 I362:I366 G362:G366 P362:P366 T362:T366 E362:E366 J376:J380 E376:H380 N376:P380 F478:K482 F160:M164 E248:E252 K417:K421 G417:G421 I417:I421 F486:K490 F119:M123 F510:K514 F128:M132 F534:K538 F136:M140 F502:K506 F144:M148 F469:K473 F152:M156 F526:K530 F184:M188 F494:K498 F168:M172 F518:K522 F176:M180 H106:U110" xr:uid="{3684EDB9-21E8-47CB-97B9-DD578DECC0DA}">
      <formula1>"Yes,No"</formula1>
    </dataValidation>
  </dataValidations>
  <hyperlinks>
    <hyperlink ref="B75:J75" r:id="rId1" display="For more information on the context, terminlogy and formulas used with this goal, click this link to access its associated Action Guide." xr:uid="{ECB4EEF0-5F9A-4FA0-97D1-655D70C18D8D}"/>
    <hyperlink ref="B89:J89" r:id="rId2" display="For more information on the context, terminlogy and formulas used with this goal, click this link to access its associated Action Guide." xr:uid="{2FDE5A23-04D5-41C9-A8E1-77C534877025}"/>
    <hyperlink ref="B103:J103" r:id="rId3" display="For more information on the context, terminlogy and formulas used with this goal, click this link to access its associated Action Guide." xr:uid="{82CF40C4-9072-4494-812B-C24C16F48103}"/>
    <hyperlink ref="B116:J116" r:id="rId4" display="For more information on the context, terminlogy and formulas used with this goal, click this link to access its associated Action Guide." xr:uid="{D73C2BEB-F8EF-45D0-9AC8-DF6E8AB96B99}"/>
    <hyperlink ref="B196:J196" r:id="rId5" display="For more information on the context, terminlogy and formulas used with this goal, click this link to access its associated Action Guide." xr:uid="{88F06E84-B59B-4CE9-8BD4-75AE1B32CE47}"/>
    <hyperlink ref="B221:J221" r:id="rId6" display="For more information on the context, terminlogy and formulas used with this goal, click this link to access its associated Action Guide." xr:uid="{3D0E9AF9-9E0D-483B-921A-17B27CA946A4}"/>
    <hyperlink ref="B209:J209" r:id="rId7" display="For more information on the context, terminlogy and formulas used with this goal, click this link to access its associated Action Guide." xr:uid="{7FF11707-3785-4951-A05E-D707EA84FC7C}"/>
    <hyperlink ref="B344:J344" r:id="rId8" display="For more information on the context, terminlogy and formulas used with this goal, click this link to access its associated Action Guide." xr:uid="{8B4B9ACC-B31A-4F64-BC5A-2FBE5DB73C7B}"/>
    <hyperlink ref="B274:J274" r:id="rId9" display="For more information on the context, terminlogy and formulas used with this goal, click this link to access its associated Action Guide." xr:uid="{2F472FD3-E471-441B-BFD8-4D664C2516A9}"/>
    <hyperlink ref="B289:J289" r:id="rId10" display="For more information on the context, terminlogy and formulas used with this goal, click this link to access its associated Action Guide." xr:uid="{394946B9-0F14-481F-BFBD-F84F7AE824D9}"/>
    <hyperlink ref="B302:J302" r:id="rId11" display="For more information on the context, terminlogy and formulas used with this goal, click this link to access its associated Action Guide." xr:uid="{0491304E-C2EE-4C2E-87B6-21A71243B798}"/>
    <hyperlink ref="B316:J316" r:id="rId12" display="For more information on the context, terminlogy and formulas used with this goal, click this link to access its associated Action Guide." xr:uid="{DF75ECCB-096F-42D4-960B-79C7E1A1E451}"/>
    <hyperlink ref="B330:J330" r:id="rId13" display="For more information on the context, terminlogy and formulas used with this goal, click this link to access its associated Action Guide." xr:uid="{AD431057-1EB9-4893-81AE-29C908EE882D}"/>
    <hyperlink ref="B358:J358" r:id="rId14" display="For more information on the context, terminlogy and formulas used with this goal, click this link to access its associated Action Guide." xr:uid="{B5B47CCD-E8A5-4FAA-A6E5-4B45D40155B7}"/>
    <hyperlink ref="B372:J372" r:id="rId15" display="For more information on the context, terminlogy and formulas used with this goal, click this link to access its associated Action Guide." xr:uid="{07863B08-C8C5-4608-A664-C8529C1D6B0B}"/>
    <hyperlink ref="B386:J386" r:id="rId16" display="For more information on the context, terminlogy and formulas used with this goal, click this link to access its associated Action Guide." xr:uid="{72D43852-3A3A-4D14-9327-A4E2AC327976}"/>
    <hyperlink ref="B246:J246" r:id="rId17" display="For more information on the context, terminlogy and formulas used with this goal, click this link to access its associated Action Guide." xr:uid="{1AD493DB-3E2B-4FAF-94F7-7E9A242E40F3}"/>
    <hyperlink ref="B397:J397" r:id="rId18" display="For more information on the context, terminlogy and formulas used with this goal, click this link to access its associated Action Guide." xr:uid="{B7705B29-1F2F-4C25-AF4B-FB96F922142F}"/>
    <hyperlink ref="B413:J413" r:id="rId19" display="For more information on the context, terminlogy and formulas used with this goal, click this link to access its associated Action Guide." xr:uid="{91B32A3F-DA7F-4B8E-8722-FA3301E0E8F1}"/>
    <hyperlink ref="B427:J427" r:id="rId20" display="For more information on the context, terminlogy and formulas used with this goal, click this link to access its associated Action Guide." xr:uid="{FC5C3D39-31DC-4E3F-8570-C2B89ABB0738}"/>
    <hyperlink ref="B454:J454" r:id="rId21" display="For more information on the context, terminlogy and formulas used with this goal, click this link to access its associated Action Guide." xr:uid="{FF8B614D-373A-4031-8447-D00AA22CB3F6}"/>
    <hyperlink ref="B466:J466" r:id="rId22" display="For more information on the context, terminlogy and formulas used with this goal, click this link to access its associated Action Guide." xr:uid="{7EB9D4BB-1B69-4A71-A996-498D4CC0CB46}"/>
    <hyperlink ref="I3" r:id="rId23" display="Action Guides for all FFBB goals" xr:uid="{2DC149AB-21C8-4539-981B-0809FE206836}"/>
    <hyperlink ref="B233:J233" r:id="rId24" display="For more information on the context, terminlogy and formulas used with this goal, click this link to access its associated Action Guide." xr:uid="{B24E9E2B-BD5A-4CCD-8044-95FEC1627E2B}"/>
    <hyperlink ref="B259:J259" r:id="rId25" display="For more information on the context, terminlogy and formulas used with this goal, click this link to access its associated Action Guide." xr:uid="{E8FA8A62-C8D7-4C2C-98F3-5486C4654EBC}"/>
    <hyperlink ref="I64:J64" r:id="rId26" display="Business Model and Dashboard Templates" xr:uid="{27D2D588-9CE5-49EF-B6FA-043875CF24F6}"/>
    <hyperlink ref="J43" r:id="rId27" xr:uid="{67443BED-0BED-4E36-A6FA-91A4A5980BE4}"/>
    <hyperlink ref="I3:J3" r:id="rId28" display="FFBB Methodology Guide, Implementation Guide and Action Guides" xr:uid="{52D5779A-6800-49AA-A2CF-900226FA4703}"/>
  </hyperlinks>
  <pageMargins left="0.7" right="0.7" top="0.75" bottom="0.75" header="0.3" footer="0.3"/>
  <pageSetup orientation="portrait" r:id="rId29"/>
  <drawing r:id="rId30"/>
  <legacyDrawing r:id="rId31"/>
  <picture r:id="rId32"/>
  <mc:AlternateContent xmlns:mc="http://schemas.openxmlformats.org/markup-compatibility/2006">
    <mc:Choice Requires="x14">
      <controls>
        <mc:AlternateContent xmlns:mc="http://schemas.openxmlformats.org/markup-compatibility/2006">
          <mc:Choice Requires="x14">
            <control shapeId="16386" r:id="rId33" name="Check Box 2">
              <controlPr defaultSize="0" autoFill="0" autoLine="0" autoPict="0">
                <anchor moveWithCells="1">
                  <from>
                    <xdr:col>7</xdr:col>
                    <xdr:colOff>784860</xdr:colOff>
                    <xdr:row>51</xdr:row>
                    <xdr:rowOff>160020</xdr:rowOff>
                  </from>
                  <to>
                    <xdr:col>7</xdr:col>
                    <xdr:colOff>1059180</xdr:colOff>
                    <xdr:row>63</xdr:row>
                    <xdr:rowOff>243840</xdr:rowOff>
                  </to>
                </anchor>
              </controlPr>
            </control>
          </mc:Choice>
        </mc:AlternateContent>
        <mc:AlternateContent xmlns:mc="http://schemas.openxmlformats.org/markup-compatibility/2006">
          <mc:Choice Requires="x14">
            <control shapeId="16387" r:id="rId34" name="Check Box 3">
              <controlPr defaultSize="0" autoFill="0" autoLine="0" autoPict="0">
                <anchor moveWithCells="1">
                  <from>
                    <xdr:col>7</xdr:col>
                    <xdr:colOff>784860</xdr:colOff>
                    <xdr:row>52</xdr:row>
                    <xdr:rowOff>38100</xdr:rowOff>
                  </from>
                  <to>
                    <xdr:col>7</xdr:col>
                    <xdr:colOff>982980</xdr:colOff>
                    <xdr:row>63</xdr:row>
                    <xdr:rowOff>274320</xdr:rowOff>
                  </to>
                </anchor>
              </controlPr>
            </control>
          </mc:Choice>
        </mc:AlternateContent>
        <mc:AlternateContent xmlns:mc="http://schemas.openxmlformats.org/markup-compatibility/2006">
          <mc:Choice Requires="x14">
            <control shapeId="16388" r:id="rId35" name="Check Box 4">
              <controlPr defaultSize="0" autoFill="0" autoLine="0" autoPict="0">
                <anchor moveWithCells="1">
                  <from>
                    <xdr:col>7</xdr:col>
                    <xdr:colOff>784860</xdr:colOff>
                    <xdr:row>53</xdr:row>
                    <xdr:rowOff>22860</xdr:rowOff>
                  </from>
                  <to>
                    <xdr:col>7</xdr:col>
                    <xdr:colOff>1013460</xdr:colOff>
                    <xdr:row>63</xdr:row>
                    <xdr:rowOff>289560</xdr:rowOff>
                  </to>
                </anchor>
              </controlPr>
            </control>
          </mc:Choice>
        </mc:AlternateContent>
        <mc:AlternateContent xmlns:mc="http://schemas.openxmlformats.org/markup-compatibility/2006">
          <mc:Choice Requires="x14">
            <control shapeId="16389" r:id="rId36" name="Check Box 5">
              <controlPr defaultSize="0" autoFill="0" autoLine="0" autoPict="0">
                <anchor moveWithCells="1">
                  <from>
                    <xdr:col>7</xdr:col>
                    <xdr:colOff>784860</xdr:colOff>
                    <xdr:row>54</xdr:row>
                    <xdr:rowOff>99060</xdr:rowOff>
                  </from>
                  <to>
                    <xdr:col>7</xdr:col>
                    <xdr:colOff>1021080</xdr:colOff>
                    <xdr:row>63</xdr:row>
                    <xdr:rowOff>152400</xdr:rowOff>
                  </to>
                </anchor>
              </controlPr>
            </control>
          </mc:Choice>
        </mc:AlternateContent>
        <mc:AlternateContent xmlns:mc="http://schemas.openxmlformats.org/markup-compatibility/2006">
          <mc:Choice Requires="x14">
            <control shapeId="16390" r:id="rId37" name="Check Box 6">
              <controlPr defaultSize="0" autoFill="0" autoLine="0" autoPict="0">
                <anchor moveWithCells="1">
                  <from>
                    <xdr:col>7</xdr:col>
                    <xdr:colOff>784860</xdr:colOff>
                    <xdr:row>55</xdr:row>
                    <xdr:rowOff>121920</xdr:rowOff>
                  </from>
                  <to>
                    <xdr:col>7</xdr:col>
                    <xdr:colOff>1059180</xdr:colOff>
                    <xdr:row>63</xdr:row>
                    <xdr:rowOff>365760</xdr:rowOff>
                  </to>
                </anchor>
              </controlPr>
            </control>
          </mc:Choice>
        </mc:AlternateContent>
        <mc:AlternateContent xmlns:mc="http://schemas.openxmlformats.org/markup-compatibility/2006">
          <mc:Choice Requires="x14">
            <control shapeId="16391" r:id="rId38" name="Check Box 7">
              <controlPr defaultSize="0" autoFill="0" autoLine="0" autoPict="0">
                <anchor moveWithCells="1">
                  <from>
                    <xdr:col>7</xdr:col>
                    <xdr:colOff>784860</xdr:colOff>
                    <xdr:row>56</xdr:row>
                    <xdr:rowOff>0</xdr:rowOff>
                  </from>
                  <to>
                    <xdr:col>7</xdr:col>
                    <xdr:colOff>1059180</xdr:colOff>
                    <xdr:row>63</xdr:row>
                    <xdr:rowOff>358140</xdr:rowOff>
                  </to>
                </anchor>
              </controlPr>
            </control>
          </mc:Choice>
        </mc:AlternateContent>
        <mc:AlternateContent xmlns:mc="http://schemas.openxmlformats.org/markup-compatibility/2006">
          <mc:Choice Requires="x14">
            <control shapeId="16392" r:id="rId39" name="Check Box 8">
              <controlPr defaultSize="0" autoFill="0" autoLine="0" autoPict="0">
                <anchor moveWithCells="1">
                  <from>
                    <xdr:col>7</xdr:col>
                    <xdr:colOff>784860</xdr:colOff>
                    <xdr:row>56</xdr:row>
                    <xdr:rowOff>289560</xdr:rowOff>
                  </from>
                  <to>
                    <xdr:col>7</xdr:col>
                    <xdr:colOff>1059180</xdr:colOff>
                    <xdr:row>63</xdr:row>
                    <xdr:rowOff>358140</xdr:rowOff>
                  </to>
                </anchor>
              </controlPr>
            </control>
          </mc:Choice>
        </mc:AlternateContent>
        <mc:AlternateContent xmlns:mc="http://schemas.openxmlformats.org/markup-compatibility/2006">
          <mc:Choice Requires="x14">
            <control shapeId="16393" r:id="rId40" name="Check Box 9">
              <controlPr defaultSize="0" autoFill="0" autoLine="0" autoPict="0">
                <anchor moveWithCells="1">
                  <from>
                    <xdr:col>7</xdr:col>
                    <xdr:colOff>784860</xdr:colOff>
                    <xdr:row>58</xdr:row>
                    <xdr:rowOff>15240</xdr:rowOff>
                  </from>
                  <to>
                    <xdr:col>7</xdr:col>
                    <xdr:colOff>1059180</xdr:colOff>
                    <xdr:row>63</xdr:row>
                    <xdr:rowOff>365760</xdr:rowOff>
                  </to>
                </anchor>
              </controlPr>
            </control>
          </mc:Choice>
        </mc:AlternateContent>
        <mc:AlternateContent xmlns:mc="http://schemas.openxmlformats.org/markup-compatibility/2006">
          <mc:Choice Requires="x14">
            <control shapeId="16394" r:id="rId41" name="Check Box 10">
              <controlPr defaultSize="0" autoFill="0" autoLine="0" autoPict="0">
                <anchor moveWithCells="1">
                  <from>
                    <xdr:col>7</xdr:col>
                    <xdr:colOff>784860</xdr:colOff>
                    <xdr:row>58</xdr:row>
                    <xdr:rowOff>449580</xdr:rowOff>
                  </from>
                  <to>
                    <xdr:col>7</xdr:col>
                    <xdr:colOff>1059180</xdr:colOff>
                    <xdr:row>63</xdr:row>
                    <xdr:rowOff>358140</xdr:rowOff>
                  </to>
                </anchor>
              </controlPr>
            </control>
          </mc:Choice>
        </mc:AlternateContent>
        <mc:AlternateContent xmlns:mc="http://schemas.openxmlformats.org/markup-compatibility/2006">
          <mc:Choice Requires="x14">
            <control shapeId="16395" r:id="rId42" name="Check Box 11">
              <controlPr defaultSize="0" autoFill="0" autoLine="0" autoPict="0">
                <anchor moveWithCells="1">
                  <from>
                    <xdr:col>7</xdr:col>
                    <xdr:colOff>784860</xdr:colOff>
                    <xdr:row>59</xdr:row>
                    <xdr:rowOff>289560</xdr:rowOff>
                  </from>
                  <to>
                    <xdr:col>7</xdr:col>
                    <xdr:colOff>1059180</xdr:colOff>
                    <xdr:row>63</xdr:row>
                    <xdr:rowOff>358140</xdr:rowOff>
                  </to>
                </anchor>
              </controlPr>
            </control>
          </mc:Choice>
        </mc:AlternateContent>
        <mc:AlternateContent xmlns:mc="http://schemas.openxmlformats.org/markup-compatibility/2006">
          <mc:Choice Requires="x14">
            <control shapeId="16396" r:id="rId43" name="Check Box 12">
              <controlPr defaultSize="0" autoFill="0" autoLine="0" autoPict="0">
                <anchor moveWithCells="1">
                  <from>
                    <xdr:col>8</xdr:col>
                    <xdr:colOff>762000</xdr:colOff>
                    <xdr:row>51</xdr:row>
                    <xdr:rowOff>76200</xdr:rowOff>
                  </from>
                  <to>
                    <xdr:col>8</xdr:col>
                    <xdr:colOff>1021080</xdr:colOff>
                    <xdr:row>63</xdr:row>
                    <xdr:rowOff>403860</xdr:rowOff>
                  </to>
                </anchor>
              </controlPr>
            </control>
          </mc:Choice>
        </mc:AlternateContent>
        <mc:AlternateContent xmlns:mc="http://schemas.openxmlformats.org/markup-compatibility/2006">
          <mc:Choice Requires="x14">
            <control shapeId="16397" r:id="rId44" name="Check Box 13">
              <controlPr defaultSize="0" autoFill="0" autoLine="0" autoPict="0">
                <anchor moveWithCells="1">
                  <from>
                    <xdr:col>8</xdr:col>
                    <xdr:colOff>762000</xdr:colOff>
                    <xdr:row>53</xdr:row>
                    <xdr:rowOff>0</xdr:rowOff>
                  </from>
                  <to>
                    <xdr:col>8</xdr:col>
                    <xdr:colOff>1097280</xdr:colOff>
                    <xdr:row>63</xdr:row>
                    <xdr:rowOff>289560</xdr:rowOff>
                  </to>
                </anchor>
              </controlPr>
            </control>
          </mc:Choice>
        </mc:AlternateContent>
        <mc:AlternateContent xmlns:mc="http://schemas.openxmlformats.org/markup-compatibility/2006">
          <mc:Choice Requires="x14">
            <control shapeId="16398" r:id="rId45" name="Check Box 14">
              <controlPr defaultSize="0" autoFill="0" autoLine="0" autoPict="0">
                <anchor moveWithCells="1">
                  <from>
                    <xdr:col>8</xdr:col>
                    <xdr:colOff>762000</xdr:colOff>
                    <xdr:row>52</xdr:row>
                    <xdr:rowOff>0</xdr:rowOff>
                  </from>
                  <to>
                    <xdr:col>8</xdr:col>
                    <xdr:colOff>1021080</xdr:colOff>
                    <xdr:row>63</xdr:row>
                    <xdr:rowOff>289560</xdr:rowOff>
                  </to>
                </anchor>
              </controlPr>
            </control>
          </mc:Choice>
        </mc:AlternateContent>
        <mc:AlternateContent xmlns:mc="http://schemas.openxmlformats.org/markup-compatibility/2006">
          <mc:Choice Requires="x14">
            <control shapeId="16399" r:id="rId46" name="Check Box 15">
              <controlPr defaultSize="0" autoFill="0" autoLine="0" autoPict="0">
                <anchor moveWithCells="1">
                  <from>
                    <xdr:col>8</xdr:col>
                    <xdr:colOff>762000</xdr:colOff>
                    <xdr:row>53</xdr:row>
                    <xdr:rowOff>289560</xdr:rowOff>
                  </from>
                  <to>
                    <xdr:col>8</xdr:col>
                    <xdr:colOff>1028700</xdr:colOff>
                    <xdr:row>63</xdr:row>
                    <xdr:rowOff>358140</xdr:rowOff>
                  </to>
                </anchor>
              </controlPr>
            </control>
          </mc:Choice>
        </mc:AlternateContent>
        <mc:AlternateContent xmlns:mc="http://schemas.openxmlformats.org/markup-compatibility/2006">
          <mc:Choice Requires="x14">
            <control shapeId="16400" r:id="rId47" name="Check Box 16">
              <controlPr defaultSize="0" autoFill="0" autoLine="0" autoPict="0">
                <anchor moveWithCells="1">
                  <from>
                    <xdr:col>8</xdr:col>
                    <xdr:colOff>762000</xdr:colOff>
                    <xdr:row>55</xdr:row>
                    <xdr:rowOff>121920</xdr:rowOff>
                  </from>
                  <to>
                    <xdr:col>8</xdr:col>
                    <xdr:colOff>1028700</xdr:colOff>
                    <xdr:row>63</xdr:row>
                    <xdr:rowOff>365760</xdr:rowOff>
                  </to>
                </anchor>
              </controlPr>
            </control>
          </mc:Choice>
        </mc:AlternateContent>
        <mc:AlternateContent xmlns:mc="http://schemas.openxmlformats.org/markup-compatibility/2006">
          <mc:Choice Requires="x14">
            <control shapeId="16401" r:id="rId48" name="Check Box 17">
              <controlPr defaultSize="0" autoFill="0" autoLine="0" autoPict="0">
                <anchor moveWithCells="1">
                  <from>
                    <xdr:col>8</xdr:col>
                    <xdr:colOff>762000</xdr:colOff>
                    <xdr:row>55</xdr:row>
                    <xdr:rowOff>518160</xdr:rowOff>
                  </from>
                  <to>
                    <xdr:col>8</xdr:col>
                    <xdr:colOff>1028700</xdr:colOff>
                    <xdr:row>63</xdr:row>
                    <xdr:rowOff>358140</xdr:rowOff>
                  </to>
                </anchor>
              </controlPr>
            </control>
          </mc:Choice>
        </mc:AlternateContent>
        <mc:AlternateContent xmlns:mc="http://schemas.openxmlformats.org/markup-compatibility/2006">
          <mc:Choice Requires="x14">
            <control shapeId="16402" r:id="rId49" name="Check Box 18">
              <controlPr defaultSize="0" autoFill="0" autoLine="0" autoPict="0">
                <anchor moveWithCells="1">
                  <from>
                    <xdr:col>8</xdr:col>
                    <xdr:colOff>762000</xdr:colOff>
                    <xdr:row>56</xdr:row>
                    <xdr:rowOff>289560</xdr:rowOff>
                  </from>
                  <to>
                    <xdr:col>8</xdr:col>
                    <xdr:colOff>1028700</xdr:colOff>
                    <xdr:row>63</xdr:row>
                    <xdr:rowOff>434340</xdr:rowOff>
                  </to>
                </anchor>
              </controlPr>
            </control>
          </mc:Choice>
        </mc:AlternateContent>
        <mc:AlternateContent xmlns:mc="http://schemas.openxmlformats.org/markup-compatibility/2006">
          <mc:Choice Requires="x14">
            <control shapeId="16403" r:id="rId50" name="Check Box 19">
              <controlPr defaultSize="0" autoFill="0" autoLine="0" autoPict="0">
                <anchor moveWithCells="1">
                  <from>
                    <xdr:col>8</xdr:col>
                    <xdr:colOff>762000</xdr:colOff>
                    <xdr:row>58</xdr:row>
                    <xdr:rowOff>7620</xdr:rowOff>
                  </from>
                  <to>
                    <xdr:col>8</xdr:col>
                    <xdr:colOff>1028700</xdr:colOff>
                    <xdr:row>63</xdr:row>
                    <xdr:rowOff>449580</xdr:rowOff>
                  </to>
                </anchor>
              </controlPr>
            </control>
          </mc:Choice>
        </mc:AlternateContent>
        <mc:AlternateContent xmlns:mc="http://schemas.openxmlformats.org/markup-compatibility/2006">
          <mc:Choice Requires="x14">
            <control shapeId="16404" r:id="rId51" name="Check Box 20">
              <controlPr defaultSize="0" autoFill="0" autoLine="0" autoPict="0">
                <anchor moveWithCells="1">
                  <from>
                    <xdr:col>8</xdr:col>
                    <xdr:colOff>762000</xdr:colOff>
                    <xdr:row>58</xdr:row>
                    <xdr:rowOff>441960</xdr:rowOff>
                  </from>
                  <to>
                    <xdr:col>8</xdr:col>
                    <xdr:colOff>1028700</xdr:colOff>
                    <xdr:row>63</xdr:row>
                    <xdr:rowOff>403860</xdr:rowOff>
                  </to>
                </anchor>
              </controlPr>
            </control>
          </mc:Choice>
        </mc:AlternateContent>
        <mc:AlternateContent xmlns:mc="http://schemas.openxmlformats.org/markup-compatibility/2006">
          <mc:Choice Requires="x14">
            <control shapeId="16405" r:id="rId52" name="Check Box 21">
              <controlPr defaultSize="0" autoFill="0" autoLine="0" autoPict="0">
                <anchor moveWithCells="1">
                  <from>
                    <xdr:col>8</xdr:col>
                    <xdr:colOff>762000</xdr:colOff>
                    <xdr:row>59</xdr:row>
                    <xdr:rowOff>289560</xdr:rowOff>
                  </from>
                  <to>
                    <xdr:col>8</xdr:col>
                    <xdr:colOff>1066800</xdr:colOff>
                    <xdr:row>63</xdr:row>
                    <xdr:rowOff>358140</xdr:rowOff>
                  </to>
                </anchor>
              </controlPr>
            </control>
          </mc:Choice>
        </mc:AlternateContent>
        <mc:AlternateContent xmlns:mc="http://schemas.openxmlformats.org/markup-compatibility/2006">
          <mc:Choice Requires="x14">
            <control shapeId="16406" r:id="rId53" name="Check Box 22">
              <controlPr defaultSize="0" autoFill="0" autoLine="0" autoPict="0">
                <anchor moveWithCells="1">
                  <from>
                    <xdr:col>9</xdr:col>
                    <xdr:colOff>807720</xdr:colOff>
                    <xdr:row>51</xdr:row>
                    <xdr:rowOff>121920</xdr:rowOff>
                  </from>
                  <to>
                    <xdr:col>9</xdr:col>
                    <xdr:colOff>1013460</xdr:colOff>
                    <xdr:row>63</xdr:row>
                    <xdr:rowOff>289560</xdr:rowOff>
                  </to>
                </anchor>
              </controlPr>
            </control>
          </mc:Choice>
        </mc:AlternateContent>
        <mc:AlternateContent xmlns:mc="http://schemas.openxmlformats.org/markup-compatibility/2006">
          <mc:Choice Requires="x14">
            <control shapeId="16407" r:id="rId54" name="Check Box 23">
              <controlPr defaultSize="0" autoFill="0" autoLine="0" autoPict="0">
                <anchor moveWithCells="1">
                  <from>
                    <xdr:col>9</xdr:col>
                    <xdr:colOff>807720</xdr:colOff>
                    <xdr:row>52</xdr:row>
                    <xdr:rowOff>22860</xdr:rowOff>
                  </from>
                  <to>
                    <xdr:col>9</xdr:col>
                    <xdr:colOff>990600</xdr:colOff>
                    <xdr:row>63</xdr:row>
                    <xdr:rowOff>266700</xdr:rowOff>
                  </to>
                </anchor>
              </controlPr>
            </control>
          </mc:Choice>
        </mc:AlternateContent>
        <mc:AlternateContent xmlns:mc="http://schemas.openxmlformats.org/markup-compatibility/2006">
          <mc:Choice Requires="x14">
            <control shapeId="16408" r:id="rId55" name="Check Box 24">
              <controlPr defaultSize="0" autoFill="0" autoLine="0" autoPict="0">
                <anchor moveWithCells="1">
                  <from>
                    <xdr:col>9</xdr:col>
                    <xdr:colOff>807720</xdr:colOff>
                    <xdr:row>53</xdr:row>
                    <xdr:rowOff>22860</xdr:rowOff>
                  </from>
                  <to>
                    <xdr:col>9</xdr:col>
                    <xdr:colOff>990600</xdr:colOff>
                    <xdr:row>63</xdr:row>
                    <xdr:rowOff>289560</xdr:rowOff>
                  </to>
                </anchor>
              </controlPr>
            </control>
          </mc:Choice>
        </mc:AlternateContent>
        <mc:AlternateContent xmlns:mc="http://schemas.openxmlformats.org/markup-compatibility/2006">
          <mc:Choice Requires="x14">
            <control shapeId="16409" r:id="rId56" name="Check Box 25">
              <controlPr defaultSize="0" autoFill="0" autoLine="0" autoPict="0">
                <anchor moveWithCells="1">
                  <from>
                    <xdr:col>9</xdr:col>
                    <xdr:colOff>807720</xdr:colOff>
                    <xdr:row>55</xdr:row>
                    <xdr:rowOff>121920</xdr:rowOff>
                  </from>
                  <to>
                    <xdr:col>9</xdr:col>
                    <xdr:colOff>1074420</xdr:colOff>
                    <xdr:row>63</xdr:row>
                    <xdr:rowOff>365760</xdr:rowOff>
                  </to>
                </anchor>
              </controlPr>
            </control>
          </mc:Choice>
        </mc:AlternateContent>
        <mc:AlternateContent xmlns:mc="http://schemas.openxmlformats.org/markup-compatibility/2006">
          <mc:Choice Requires="x14">
            <control shapeId="16410" r:id="rId57" name="Check Box 26">
              <controlPr defaultSize="0" autoFill="0" autoLine="0" autoPict="0">
                <anchor moveWithCells="1">
                  <from>
                    <xdr:col>9</xdr:col>
                    <xdr:colOff>807720</xdr:colOff>
                    <xdr:row>55</xdr:row>
                    <xdr:rowOff>518160</xdr:rowOff>
                  </from>
                  <to>
                    <xdr:col>9</xdr:col>
                    <xdr:colOff>1074420</xdr:colOff>
                    <xdr:row>63</xdr:row>
                    <xdr:rowOff>350520</xdr:rowOff>
                  </to>
                </anchor>
              </controlPr>
            </control>
          </mc:Choice>
        </mc:AlternateContent>
        <mc:AlternateContent xmlns:mc="http://schemas.openxmlformats.org/markup-compatibility/2006">
          <mc:Choice Requires="x14">
            <control shapeId="16411" r:id="rId58" name="Check Box 27">
              <controlPr defaultSize="0" autoFill="0" autoLine="0" autoPict="0">
                <anchor moveWithCells="1">
                  <from>
                    <xdr:col>9</xdr:col>
                    <xdr:colOff>807720</xdr:colOff>
                    <xdr:row>56</xdr:row>
                    <xdr:rowOff>289560</xdr:rowOff>
                  </from>
                  <to>
                    <xdr:col>9</xdr:col>
                    <xdr:colOff>1074420</xdr:colOff>
                    <xdr:row>63</xdr:row>
                    <xdr:rowOff>350520</xdr:rowOff>
                  </to>
                </anchor>
              </controlPr>
            </control>
          </mc:Choice>
        </mc:AlternateContent>
        <mc:AlternateContent xmlns:mc="http://schemas.openxmlformats.org/markup-compatibility/2006">
          <mc:Choice Requires="x14">
            <control shapeId="16412" r:id="rId59" name="Check Box 28">
              <controlPr defaultSize="0" autoFill="0" autoLine="0" autoPict="0">
                <anchor moveWithCells="1">
                  <from>
                    <xdr:col>9</xdr:col>
                    <xdr:colOff>807720</xdr:colOff>
                    <xdr:row>58</xdr:row>
                    <xdr:rowOff>7620</xdr:rowOff>
                  </from>
                  <to>
                    <xdr:col>9</xdr:col>
                    <xdr:colOff>1074420</xdr:colOff>
                    <xdr:row>63</xdr:row>
                    <xdr:rowOff>365760</xdr:rowOff>
                  </to>
                </anchor>
              </controlPr>
            </control>
          </mc:Choice>
        </mc:AlternateContent>
        <mc:AlternateContent xmlns:mc="http://schemas.openxmlformats.org/markup-compatibility/2006">
          <mc:Choice Requires="x14">
            <control shapeId="16413" r:id="rId60" name="Check Box 29">
              <controlPr defaultSize="0" autoFill="0" autoLine="0" autoPict="0">
                <anchor moveWithCells="1">
                  <from>
                    <xdr:col>9</xdr:col>
                    <xdr:colOff>807720</xdr:colOff>
                    <xdr:row>58</xdr:row>
                    <xdr:rowOff>441960</xdr:rowOff>
                  </from>
                  <to>
                    <xdr:col>9</xdr:col>
                    <xdr:colOff>1074420</xdr:colOff>
                    <xdr:row>63</xdr:row>
                    <xdr:rowOff>358140</xdr:rowOff>
                  </to>
                </anchor>
              </controlPr>
            </control>
          </mc:Choice>
        </mc:AlternateContent>
        <mc:AlternateContent xmlns:mc="http://schemas.openxmlformats.org/markup-compatibility/2006">
          <mc:Choice Requires="x14">
            <control shapeId="16414" r:id="rId61" name="Check Box 30">
              <controlPr defaultSize="0" autoFill="0" autoLine="0" autoPict="0">
                <anchor moveWithCells="1">
                  <from>
                    <xdr:col>9</xdr:col>
                    <xdr:colOff>807720</xdr:colOff>
                    <xdr:row>59</xdr:row>
                    <xdr:rowOff>289560</xdr:rowOff>
                  </from>
                  <to>
                    <xdr:col>9</xdr:col>
                    <xdr:colOff>1074420</xdr:colOff>
                    <xdr:row>63</xdr:row>
                    <xdr:rowOff>358140</xdr:rowOff>
                  </to>
                </anchor>
              </controlPr>
            </control>
          </mc:Choice>
        </mc:AlternateContent>
        <mc:AlternateContent xmlns:mc="http://schemas.openxmlformats.org/markup-compatibility/2006">
          <mc:Choice Requires="x14">
            <control shapeId="16415" r:id="rId62" name="Check Box 31">
              <controlPr defaultSize="0" autoFill="0" autoLine="0" autoPict="0">
                <anchor moveWithCells="1">
                  <from>
                    <xdr:col>9</xdr:col>
                    <xdr:colOff>807720</xdr:colOff>
                    <xdr:row>53</xdr:row>
                    <xdr:rowOff>304800</xdr:rowOff>
                  </from>
                  <to>
                    <xdr:col>9</xdr:col>
                    <xdr:colOff>1043940</xdr:colOff>
                    <xdr:row>63</xdr:row>
                    <xdr:rowOff>342900</xdr:rowOff>
                  </to>
                </anchor>
              </controlPr>
            </control>
          </mc:Choice>
        </mc:AlternateContent>
        <mc:AlternateContent xmlns:mc="http://schemas.openxmlformats.org/markup-compatibility/2006">
          <mc:Choice Requires="x14">
            <control shapeId="16490" r:id="rId63" name="Check Box 106">
              <controlPr defaultSize="0" autoFill="0" autoLine="0" autoPict="0">
                <anchor moveWithCells="1">
                  <from>
                    <xdr:col>1</xdr:col>
                    <xdr:colOff>609600</xdr:colOff>
                    <xdr:row>65</xdr:row>
                    <xdr:rowOff>22860</xdr:rowOff>
                  </from>
                  <to>
                    <xdr:col>1</xdr:col>
                    <xdr:colOff>914400</xdr:colOff>
                    <xdr:row>65</xdr:row>
                    <xdr:rowOff>213360</xdr:rowOff>
                  </to>
                </anchor>
              </controlPr>
            </control>
          </mc:Choice>
        </mc:AlternateContent>
        <mc:AlternateContent xmlns:mc="http://schemas.openxmlformats.org/markup-compatibility/2006">
          <mc:Choice Requires="x14">
            <control shapeId="16491" r:id="rId64" name="Check Box 107">
              <controlPr defaultSize="0" autoFill="0" autoLine="0" autoPict="0">
                <anchor moveWithCells="1">
                  <from>
                    <xdr:col>1</xdr:col>
                    <xdr:colOff>609600</xdr:colOff>
                    <xdr:row>68</xdr:row>
                    <xdr:rowOff>22860</xdr:rowOff>
                  </from>
                  <to>
                    <xdr:col>1</xdr:col>
                    <xdr:colOff>899160</xdr:colOff>
                    <xdr:row>68</xdr:row>
                    <xdr:rowOff>251460</xdr:rowOff>
                  </to>
                </anchor>
              </controlPr>
            </control>
          </mc:Choice>
        </mc:AlternateContent>
        <mc:AlternateContent xmlns:mc="http://schemas.openxmlformats.org/markup-compatibility/2006">
          <mc:Choice Requires="x14">
            <control shapeId="16492" r:id="rId65" name="Check Box 108">
              <controlPr defaultSize="0" autoFill="0" autoLine="0" autoPict="0">
                <anchor moveWithCells="1">
                  <from>
                    <xdr:col>1</xdr:col>
                    <xdr:colOff>609600</xdr:colOff>
                    <xdr:row>64</xdr:row>
                    <xdr:rowOff>22860</xdr:rowOff>
                  </from>
                  <to>
                    <xdr:col>1</xdr:col>
                    <xdr:colOff>899160</xdr:colOff>
                    <xdr:row>64</xdr:row>
                    <xdr:rowOff>213360</xdr:rowOff>
                  </to>
                </anchor>
              </controlPr>
            </control>
          </mc:Choice>
        </mc:AlternateContent>
        <mc:AlternateContent xmlns:mc="http://schemas.openxmlformats.org/markup-compatibility/2006">
          <mc:Choice Requires="x14">
            <control shapeId="16493" r:id="rId66" name="Check Box 109">
              <controlPr defaultSize="0" autoFill="0" autoLine="0" autoPict="0">
                <anchor moveWithCells="1">
                  <from>
                    <xdr:col>1</xdr:col>
                    <xdr:colOff>609600</xdr:colOff>
                    <xdr:row>66</xdr:row>
                    <xdr:rowOff>22860</xdr:rowOff>
                  </from>
                  <to>
                    <xdr:col>1</xdr:col>
                    <xdr:colOff>899160</xdr:colOff>
                    <xdr:row>66</xdr:row>
                    <xdr:rowOff>213360</xdr:rowOff>
                  </to>
                </anchor>
              </controlPr>
            </control>
          </mc:Choice>
        </mc:AlternateContent>
        <mc:AlternateContent xmlns:mc="http://schemas.openxmlformats.org/markup-compatibility/2006">
          <mc:Choice Requires="x14">
            <control shapeId="16495" r:id="rId67" name="Check Box 111">
              <controlPr defaultSize="0" autoFill="0" autoLine="0" autoPict="0">
                <anchor moveWithCells="1">
                  <from>
                    <xdr:col>1</xdr:col>
                    <xdr:colOff>609600</xdr:colOff>
                    <xdr:row>69</xdr:row>
                    <xdr:rowOff>22860</xdr:rowOff>
                  </from>
                  <to>
                    <xdr:col>1</xdr:col>
                    <xdr:colOff>899160</xdr:colOff>
                    <xdr:row>69</xdr:row>
                    <xdr:rowOff>251460</xdr:rowOff>
                  </to>
                </anchor>
              </controlPr>
            </control>
          </mc:Choice>
        </mc:AlternateContent>
        <mc:AlternateContent xmlns:mc="http://schemas.openxmlformats.org/markup-compatibility/2006">
          <mc:Choice Requires="x14">
            <control shapeId="16496" r:id="rId68" name="Check Box 112">
              <controlPr defaultSize="0" autoFill="0" autoLine="0" autoPict="0">
                <anchor moveWithCells="1">
                  <from>
                    <xdr:col>1</xdr:col>
                    <xdr:colOff>609600</xdr:colOff>
                    <xdr:row>67</xdr:row>
                    <xdr:rowOff>22860</xdr:rowOff>
                  </from>
                  <to>
                    <xdr:col>1</xdr:col>
                    <xdr:colOff>914400</xdr:colOff>
                    <xdr:row>67</xdr:row>
                    <xdr:rowOff>213360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13ADF-9F97-48FE-9FEC-E3F8AEB2CEF9}">
  <sheetPr>
    <tabColor theme="7" tint="0.59999389629810485"/>
  </sheetPr>
  <dimension ref="A1:X67"/>
  <sheetViews>
    <sheetView showGridLines="0" zoomScale="70" zoomScaleNormal="70" workbookViewId="0"/>
  </sheetViews>
  <sheetFormatPr defaultColWidth="11.6640625" defaultRowHeight="16.2" x14ac:dyDescent="0.35"/>
  <cols>
    <col min="1" max="1" width="2.77734375" style="4" customWidth="1"/>
    <col min="2" max="2" width="35.109375" style="4" customWidth="1"/>
    <col min="3" max="3" width="25.109375" style="4" customWidth="1"/>
    <col min="4" max="4" width="17.33203125" style="4" customWidth="1"/>
    <col min="5" max="5" width="21.88671875" style="4" customWidth="1"/>
    <col min="6" max="7" width="20.6640625" style="4" customWidth="1"/>
    <col min="8" max="8" width="25.6640625" style="4" customWidth="1"/>
    <col min="9" max="9" width="15.6640625" style="4" customWidth="1"/>
    <col min="10" max="10" width="20.6640625" style="4" customWidth="1"/>
    <col min="11" max="13" width="25.6640625" style="4" customWidth="1"/>
    <col min="14" max="14" width="7.33203125" style="4" customWidth="1"/>
    <col min="15" max="15" width="7" style="4" customWidth="1"/>
    <col min="16" max="16" width="6.77734375" style="4" customWidth="1"/>
    <col min="17" max="17" width="8.109375" style="4" customWidth="1"/>
    <col min="18" max="16384" width="11.6640625" style="4"/>
  </cols>
  <sheetData>
    <row r="1" spans="1:24" ht="10.95" customHeight="1" x14ac:dyDescent="0.35"/>
    <row r="2" spans="1:24" ht="46.05" customHeight="1" x14ac:dyDescent="0.35">
      <c r="A2" s="10"/>
      <c r="B2" s="929" t="s">
        <v>756</v>
      </c>
      <c r="C2" s="930"/>
      <c r="D2" s="931"/>
      <c r="E2" s="931"/>
      <c r="F2" s="931"/>
      <c r="G2" s="931"/>
      <c r="H2" s="931"/>
      <c r="I2" s="931"/>
      <c r="J2" s="932"/>
      <c r="K2" s="6"/>
      <c r="L2" s="6"/>
    </row>
    <row r="3" spans="1:24" s="391" customFormat="1" ht="43.95" customHeight="1" x14ac:dyDescent="0.3">
      <c r="A3" s="389"/>
      <c r="B3" s="933" t="s">
        <v>757</v>
      </c>
      <c r="C3" s="934"/>
      <c r="D3" s="934"/>
      <c r="E3" s="934"/>
      <c r="F3" s="934"/>
      <c r="G3" s="934"/>
      <c r="H3" s="934"/>
      <c r="I3" s="935" t="s">
        <v>810</v>
      </c>
      <c r="J3" s="936"/>
      <c r="K3" s="390"/>
      <c r="L3" s="390"/>
    </row>
    <row r="4" spans="1:24" s="394" customFormat="1" ht="72.45" customHeight="1" x14ac:dyDescent="0.35">
      <c r="A4" s="392"/>
      <c r="B4" s="528" t="s">
        <v>712</v>
      </c>
      <c r="C4" s="527"/>
      <c r="D4" s="527"/>
      <c r="E4" s="527"/>
      <c r="F4" s="527"/>
      <c r="G4" s="527"/>
      <c r="H4" s="91"/>
      <c r="I4" s="91"/>
      <c r="J4" s="393"/>
    </row>
    <row r="5" spans="1:24" s="394" customFormat="1" ht="116.55" customHeight="1" x14ac:dyDescent="0.35">
      <c r="A5" s="392"/>
      <c r="B5" s="88"/>
      <c r="C5" s="91"/>
      <c r="D5" s="91"/>
      <c r="E5" s="91"/>
      <c r="F5" s="91"/>
      <c r="G5" s="91"/>
      <c r="H5" s="91"/>
      <c r="I5" s="91"/>
      <c r="J5" s="393"/>
    </row>
    <row r="6" spans="1:24" s="394" customFormat="1" ht="88.5" customHeight="1" x14ac:dyDescent="0.35">
      <c r="A6" s="392"/>
      <c r="B6" s="937" t="s">
        <v>774</v>
      </c>
      <c r="C6" s="938"/>
      <c r="D6" s="938"/>
      <c r="E6" s="938"/>
      <c r="F6" s="938"/>
      <c r="G6" s="938"/>
      <c r="H6" s="91"/>
      <c r="I6" s="91"/>
      <c r="J6" s="89"/>
    </row>
    <row r="7" spans="1:24" ht="10.050000000000001" customHeight="1" thickBot="1" x14ac:dyDescent="0.4">
      <c r="B7" s="945"/>
      <c r="C7" s="945"/>
      <c r="D7" s="945"/>
      <c r="T7" s="391"/>
      <c r="U7" s="391"/>
      <c r="V7" s="391"/>
      <c r="W7" s="391"/>
      <c r="X7" s="391"/>
    </row>
    <row r="8" spans="1:24" ht="30" customHeight="1" thickBot="1" x14ac:dyDescent="0.4">
      <c r="A8" s="10"/>
      <c r="B8" s="947" t="s">
        <v>713</v>
      </c>
      <c r="C8" s="948"/>
      <c r="D8" s="948"/>
      <c r="E8" s="948"/>
      <c r="F8" s="948"/>
      <c r="G8" s="948"/>
      <c r="H8" s="948"/>
      <c r="I8" s="948"/>
      <c r="J8" s="949"/>
    </row>
    <row r="9" spans="1:24" ht="97.2" customHeight="1" x14ac:dyDescent="0.35">
      <c r="A9" s="10"/>
      <c r="B9" s="951" t="s">
        <v>758</v>
      </c>
      <c r="C9" s="952"/>
      <c r="D9" s="952"/>
      <c r="E9" s="952"/>
      <c r="F9" s="952"/>
      <c r="G9" s="952"/>
      <c r="H9" s="952"/>
      <c r="I9" s="952"/>
      <c r="J9" s="953"/>
    </row>
    <row r="10" spans="1:24" ht="10.050000000000001" customHeight="1" thickBot="1" x14ac:dyDescent="0.4">
      <c r="B10" s="945"/>
      <c r="C10" s="945"/>
      <c r="D10" s="945"/>
      <c r="T10" s="391"/>
      <c r="U10" s="391"/>
      <c r="V10" s="391"/>
      <c r="W10" s="391"/>
      <c r="X10" s="391"/>
    </row>
    <row r="11" spans="1:24" s="11" customFormat="1" ht="55.2" customHeight="1" thickBot="1" x14ac:dyDescent="0.4">
      <c r="B11" s="489" t="s">
        <v>714</v>
      </c>
      <c r="C11" s="397" t="s">
        <v>802</v>
      </c>
      <c r="D11" s="397" t="s">
        <v>803</v>
      </c>
      <c r="E11" s="395" t="s">
        <v>715</v>
      </c>
      <c r="F11" s="396" t="s">
        <v>716</v>
      </c>
      <c r="G11" s="397" t="s">
        <v>717</v>
      </c>
      <c r="H11" s="397" t="s">
        <v>718</v>
      </c>
      <c r="I11" s="397" t="s">
        <v>719</v>
      </c>
      <c r="J11" s="398" t="s">
        <v>720</v>
      </c>
      <c r="K11" s="954" t="s">
        <v>721</v>
      </c>
      <c r="L11" s="955"/>
      <c r="T11" s="391"/>
      <c r="U11" s="391"/>
      <c r="V11" s="391"/>
      <c r="W11" s="391"/>
      <c r="X11" s="391"/>
    </row>
    <row r="12" spans="1:24" s="7" customFormat="1" ht="25.05" customHeight="1" x14ac:dyDescent="0.35">
      <c r="B12" s="956" t="s">
        <v>759</v>
      </c>
      <c r="C12" s="957"/>
      <c r="D12" s="957"/>
      <c r="E12" s="957"/>
      <c r="F12" s="957"/>
      <c r="G12" s="957"/>
      <c r="H12" s="950"/>
      <c r="I12" s="950"/>
      <c r="J12" s="950"/>
      <c r="K12" s="950"/>
      <c r="L12" s="950"/>
    </row>
    <row r="13" spans="1:24" s="394" customFormat="1" ht="64.95" customHeight="1" thickBot="1" x14ac:dyDescent="0.4">
      <c r="B13" s="399" t="s">
        <v>722</v>
      </c>
      <c r="C13" s="400"/>
      <c r="D13" s="400"/>
      <c r="E13" s="400"/>
      <c r="F13" s="400"/>
      <c r="G13" s="400"/>
      <c r="H13" s="400"/>
      <c r="I13" s="400"/>
      <c r="J13" s="400"/>
      <c r="K13" s="958"/>
      <c r="L13" s="959"/>
      <c r="T13" s="391"/>
      <c r="U13" s="391"/>
      <c r="V13" s="391"/>
      <c r="W13" s="391"/>
      <c r="X13" s="391"/>
    </row>
    <row r="14" spans="1:24" s="394" customFormat="1" ht="30" customHeight="1" thickBot="1" x14ac:dyDescent="0.4">
      <c r="B14" s="410" t="s">
        <v>723</v>
      </c>
      <c r="C14" s="941" t="s">
        <v>54</v>
      </c>
      <c r="D14" s="941"/>
      <c r="E14" s="941"/>
      <c r="F14" s="941"/>
      <c r="G14" s="941"/>
      <c r="H14" s="941"/>
      <c r="I14" s="941"/>
      <c r="J14" s="941"/>
      <c r="K14" s="939"/>
      <c r="L14" s="940"/>
      <c r="T14" s="391"/>
      <c r="U14" s="391"/>
      <c r="V14" s="391"/>
      <c r="W14" s="391"/>
      <c r="X14" s="391"/>
    </row>
    <row r="15" spans="1:24" s="394" customFormat="1" ht="64.95" customHeight="1" thickBot="1" x14ac:dyDescent="0.4">
      <c r="B15" s="401" t="s">
        <v>724</v>
      </c>
      <c r="C15" s="402"/>
      <c r="D15" s="402"/>
      <c r="E15" s="402"/>
      <c r="F15" s="402"/>
      <c r="G15" s="402"/>
      <c r="H15" s="402"/>
      <c r="I15" s="402"/>
      <c r="J15" s="402"/>
      <c r="K15" s="939"/>
      <c r="L15" s="940"/>
      <c r="T15" s="391"/>
      <c r="U15" s="391"/>
      <c r="V15" s="391"/>
      <c r="W15" s="391"/>
      <c r="X15" s="391"/>
    </row>
    <row r="16" spans="1:24" s="394" customFormat="1" ht="30" customHeight="1" thickBot="1" x14ac:dyDescent="0.4">
      <c r="B16" s="410" t="s">
        <v>723</v>
      </c>
      <c r="C16" s="941" t="s">
        <v>54</v>
      </c>
      <c r="D16" s="941"/>
      <c r="E16" s="941"/>
      <c r="F16" s="941"/>
      <c r="G16" s="941"/>
      <c r="H16" s="941"/>
      <c r="I16" s="941"/>
      <c r="J16" s="941"/>
      <c r="K16" s="939"/>
      <c r="L16" s="940"/>
      <c r="T16" s="391"/>
      <c r="U16" s="391"/>
      <c r="V16" s="391"/>
      <c r="W16" s="391"/>
      <c r="X16" s="391"/>
    </row>
    <row r="17" spans="2:24" s="394" customFormat="1" ht="64.95" customHeight="1" thickBot="1" x14ac:dyDescent="0.4">
      <c r="B17" s="403" t="s">
        <v>725</v>
      </c>
      <c r="C17" s="400"/>
      <c r="D17" s="400"/>
      <c r="E17" s="400"/>
      <c r="F17" s="400"/>
      <c r="G17" s="400"/>
      <c r="H17" s="400"/>
      <c r="I17" s="404"/>
      <c r="J17" s="405"/>
      <c r="K17" s="939"/>
      <c r="L17" s="940"/>
      <c r="T17" s="391"/>
      <c r="U17" s="391"/>
      <c r="V17" s="391"/>
      <c r="W17" s="391"/>
      <c r="X17" s="391"/>
    </row>
    <row r="18" spans="2:24" s="394" customFormat="1" ht="30" customHeight="1" thickBot="1" x14ac:dyDescent="0.4">
      <c r="B18" s="410" t="s">
        <v>723</v>
      </c>
      <c r="C18" s="941" t="s">
        <v>54</v>
      </c>
      <c r="D18" s="941"/>
      <c r="E18" s="941"/>
      <c r="F18" s="941"/>
      <c r="G18" s="941"/>
      <c r="H18" s="941"/>
      <c r="I18" s="941"/>
      <c r="J18" s="941"/>
      <c r="K18" s="939"/>
      <c r="L18" s="940"/>
      <c r="T18" s="391"/>
      <c r="U18" s="391"/>
      <c r="V18" s="391"/>
      <c r="W18" s="391"/>
      <c r="X18" s="391"/>
    </row>
    <row r="19" spans="2:24" s="394" customFormat="1" ht="64.95" customHeight="1" thickBot="1" x14ac:dyDescent="0.4">
      <c r="B19" s="403" t="s">
        <v>726</v>
      </c>
      <c r="C19" s="406"/>
      <c r="D19" s="407"/>
      <c r="E19" s="407"/>
      <c r="F19" s="407"/>
      <c r="G19" s="407"/>
      <c r="H19" s="408"/>
      <c r="I19" s="409"/>
      <c r="J19" s="405"/>
      <c r="K19" s="939"/>
      <c r="L19" s="940"/>
      <c r="T19" s="391"/>
      <c r="U19" s="391"/>
      <c r="V19" s="391"/>
      <c r="W19" s="391"/>
      <c r="X19" s="391"/>
    </row>
    <row r="20" spans="2:24" s="394" customFormat="1" ht="30" customHeight="1" thickBot="1" x14ac:dyDescent="0.4">
      <c r="B20" s="410" t="s">
        <v>723</v>
      </c>
      <c r="C20" s="941" t="s">
        <v>54</v>
      </c>
      <c r="D20" s="941"/>
      <c r="E20" s="941"/>
      <c r="F20" s="941"/>
      <c r="G20" s="941"/>
      <c r="H20" s="941"/>
      <c r="I20" s="941"/>
      <c r="J20" s="941"/>
      <c r="K20" s="939"/>
      <c r="L20" s="940"/>
      <c r="T20" s="391"/>
      <c r="U20" s="391"/>
      <c r="V20" s="391"/>
      <c r="W20" s="391"/>
      <c r="X20" s="391"/>
    </row>
    <row r="21" spans="2:24" s="394" customFormat="1" ht="64.95" customHeight="1" thickBot="1" x14ac:dyDescent="0.4">
      <c r="B21" s="403" t="s">
        <v>727</v>
      </c>
      <c r="C21" s="406"/>
      <c r="D21" s="407"/>
      <c r="E21" s="407"/>
      <c r="F21" s="407"/>
      <c r="G21" s="407"/>
      <c r="H21" s="408"/>
      <c r="I21" s="409"/>
      <c r="J21" s="405"/>
      <c r="K21" s="939"/>
      <c r="L21" s="940"/>
      <c r="T21" s="391"/>
      <c r="U21" s="391"/>
      <c r="V21" s="391"/>
      <c r="W21" s="391"/>
      <c r="X21" s="391"/>
    </row>
    <row r="22" spans="2:24" s="394" customFormat="1" ht="30" customHeight="1" thickBot="1" x14ac:dyDescent="0.4">
      <c r="B22" s="410" t="s">
        <v>723</v>
      </c>
      <c r="C22" s="941" t="s">
        <v>54</v>
      </c>
      <c r="D22" s="941"/>
      <c r="E22" s="941"/>
      <c r="F22" s="941"/>
      <c r="G22" s="941"/>
      <c r="H22" s="941"/>
      <c r="I22" s="941"/>
      <c r="J22" s="941"/>
      <c r="K22" s="939"/>
      <c r="L22" s="940"/>
      <c r="T22" s="391"/>
      <c r="U22" s="391"/>
      <c r="V22" s="391"/>
      <c r="W22" s="391"/>
      <c r="X22" s="391"/>
    </row>
    <row r="23" spans="2:24" s="7" customFormat="1" ht="25.05" customHeight="1" thickBot="1" x14ac:dyDescent="0.4">
      <c r="B23" s="927" t="s">
        <v>760</v>
      </c>
      <c r="C23" s="928"/>
      <c r="D23" s="928"/>
      <c r="E23" s="928"/>
      <c r="F23" s="928"/>
      <c r="G23" s="928"/>
      <c r="H23" s="928"/>
      <c r="I23" s="928"/>
      <c r="J23" s="928"/>
      <c r="K23" s="928"/>
      <c r="L23" s="928"/>
    </row>
    <row r="24" spans="2:24" s="394" customFormat="1" ht="64.95" customHeight="1" thickBot="1" x14ac:dyDescent="0.4">
      <c r="B24" s="403" t="s">
        <v>728</v>
      </c>
      <c r="C24" s="406"/>
      <c r="D24" s="407"/>
      <c r="E24" s="407"/>
      <c r="F24" s="407"/>
      <c r="G24" s="407"/>
      <c r="H24" s="407"/>
      <c r="I24" s="404"/>
      <c r="J24" s="405"/>
      <c r="K24" s="939"/>
      <c r="L24" s="940"/>
      <c r="T24" s="391"/>
      <c r="U24" s="391"/>
      <c r="V24" s="391"/>
      <c r="W24" s="391"/>
      <c r="X24" s="391"/>
    </row>
    <row r="25" spans="2:24" s="394" customFormat="1" ht="30" customHeight="1" thickBot="1" x14ac:dyDescent="0.4">
      <c r="B25" s="410" t="s">
        <v>723</v>
      </c>
      <c r="C25" s="941" t="s">
        <v>54</v>
      </c>
      <c r="D25" s="941"/>
      <c r="E25" s="941"/>
      <c r="F25" s="941"/>
      <c r="G25" s="941"/>
      <c r="H25" s="941"/>
      <c r="I25" s="941"/>
      <c r="J25" s="941"/>
      <c r="K25" s="939"/>
      <c r="L25" s="940"/>
      <c r="T25" s="391"/>
      <c r="U25" s="391"/>
      <c r="V25" s="391"/>
      <c r="W25" s="391"/>
      <c r="X25" s="391"/>
    </row>
    <row r="26" spans="2:24" s="394" customFormat="1" ht="64.95" customHeight="1" thickBot="1" x14ac:dyDescent="0.4">
      <c r="B26" s="403" t="s">
        <v>729</v>
      </c>
      <c r="C26" s="406"/>
      <c r="D26" s="407"/>
      <c r="E26" s="407"/>
      <c r="F26" s="407"/>
      <c r="G26" s="407"/>
      <c r="H26" s="408"/>
      <c r="I26" s="409"/>
      <c r="J26" s="405"/>
      <c r="K26" s="939"/>
      <c r="L26" s="940"/>
      <c r="T26" s="391"/>
      <c r="U26" s="391"/>
      <c r="V26" s="391"/>
      <c r="W26" s="391"/>
      <c r="X26" s="391"/>
    </row>
    <row r="27" spans="2:24" s="394" customFormat="1" ht="30" customHeight="1" thickBot="1" x14ac:dyDescent="0.4">
      <c r="B27" s="410" t="s">
        <v>723</v>
      </c>
      <c r="C27" s="941" t="s">
        <v>54</v>
      </c>
      <c r="D27" s="941"/>
      <c r="E27" s="941"/>
      <c r="F27" s="941"/>
      <c r="G27" s="941"/>
      <c r="H27" s="941"/>
      <c r="I27" s="941"/>
      <c r="J27" s="941"/>
      <c r="K27" s="939"/>
      <c r="L27" s="940"/>
      <c r="T27" s="391"/>
      <c r="U27" s="391"/>
      <c r="V27" s="391"/>
      <c r="W27" s="391"/>
      <c r="X27" s="391"/>
    </row>
    <row r="28" spans="2:24" s="394" customFormat="1" ht="64.95" customHeight="1" thickBot="1" x14ac:dyDescent="0.4">
      <c r="B28" s="403" t="s">
        <v>730</v>
      </c>
      <c r="C28" s="406"/>
      <c r="D28" s="407"/>
      <c r="E28" s="407"/>
      <c r="F28" s="407"/>
      <c r="G28" s="407"/>
      <c r="H28" s="408"/>
      <c r="I28" s="409"/>
      <c r="J28" s="405"/>
      <c r="K28" s="939"/>
      <c r="L28" s="940"/>
      <c r="T28" s="391"/>
      <c r="U28" s="391"/>
      <c r="V28" s="391"/>
      <c r="W28" s="391"/>
      <c r="X28" s="391"/>
    </row>
    <row r="29" spans="2:24" s="394" customFormat="1" ht="30" customHeight="1" thickBot="1" x14ac:dyDescent="0.4">
      <c r="B29" s="410" t="s">
        <v>723</v>
      </c>
      <c r="C29" s="941" t="s">
        <v>54</v>
      </c>
      <c r="D29" s="941"/>
      <c r="E29" s="941"/>
      <c r="F29" s="941"/>
      <c r="G29" s="941"/>
      <c r="H29" s="941"/>
      <c r="I29" s="941"/>
      <c r="J29" s="941"/>
      <c r="K29" s="939"/>
      <c r="L29" s="940"/>
      <c r="T29" s="391"/>
      <c r="U29" s="391"/>
      <c r="V29" s="391"/>
      <c r="W29" s="391"/>
      <c r="X29" s="391"/>
    </row>
    <row r="30" spans="2:24" s="394" customFormat="1" ht="64.95" customHeight="1" thickBot="1" x14ac:dyDescent="0.4">
      <c r="B30" s="403" t="s">
        <v>731</v>
      </c>
      <c r="C30" s="406"/>
      <c r="D30" s="407"/>
      <c r="E30" s="407"/>
      <c r="F30" s="407"/>
      <c r="G30" s="407"/>
      <c r="H30" s="408"/>
      <c r="I30" s="409"/>
      <c r="J30" s="405"/>
      <c r="K30" s="939"/>
      <c r="L30" s="940"/>
      <c r="T30" s="391"/>
      <c r="U30" s="391"/>
      <c r="V30" s="391"/>
      <c r="W30" s="391"/>
      <c r="X30" s="391"/>
    </row>
    <row r="31" spans="2:24" s="394" customFormat="1" ht="30" customHeight="1" thickBot="1" x14ac:dyDescent="0.4">
      <c r="B31" s="410" t="s">
        <v>723</v>
      </c>
      <c r="C31" s="941" t="s">
        <v>54</v>
      </c>
      <c r="D31" s="941"/>
      <c r="E31" s="941"/>
      <c r="F31" s="941"/>
      <c r="G31" s="941"/>
      <c r="H31" s="941"/>
      <c r="I31" s="941"/>
      <c r="J31" s="941"/>
      <c r="K31" s="939"/>
      <c r="L31" s="940"/>
      <c r="T31" s="391"/>
      <c r="U31" s="391"/>
      <c r="V31" s="391"/>
      <c r="W31" s="391"/>
      <c r="X31" s="391"/>
    </row>
    <row r="32" spans="2:24" s="394" customFormat="1" ht="64.95" customHeight="1" thickBot="1" x14ac:dyDescent="0.4">
      <c r="B32" s="403" t="s">
        <v>732</v>
      </c>
      <c r="C32" s="406"/>
      <c r="D32" s="407"/>
      <c r="E32" s="407"/>
      <c r="F32" s="407"/>
      <c r="G32" s="407"/>
      <c r="H32" s="408"/>
      <c r="I32" s="409"/>
      <c r="J32" s="405"/>
      <c r="K32" s="939"/>
      <c r="L32" s="940"/>
      <c r="T32" s="391"/>
      <c r="U32" s="391"/>
      <c r="V32" s="391"/>
      <c r="W32" s="391"/>
      <c r="X32" s="391"/>
    </row>
    <row r="33" spans="2:24" s="394" customFormat="1" ht="30" customHeight="1" thickBot="1" x14ac:dyDescent="0.4">
      <c r="B33" s="410" t="s">
        <v>723</v>
      </c>
      <c r="C33" s="941" t="s">
        <v>54</v>
      </c>
      <c r="D33" s="941"/>
      <c r="E33" s="941"/>
      <c r="F33" s="941"/>
      <c r="G33" s="941"/>
      <c r="H33" s="941"/>
      <c r="I33" s="941"/>
      <c r="J33" s="941"/>
      <c r="K33" s="939"/>
      <c r="L33" s="940"/>
      <c r="T33" s="391"/>
      <c r="U33" s="391"/>
      <c r="V33" s="391"/>
      <c r="W33" s="391"/>
      <c r="X33" s="391"/>
    </row>
    <row r="34" spans="2:24" s="394" customFormat="1" ht="64.95" customHeight="1" thickBot="1" x14ac:dyDescent="0.4">
      <c r="B34" s="403" t="s">
        <v>733</v>
      </c>
      <c r="C34" s="406"/>
      <c r="D34" s="407"/>
      <c r="E34" s="407"/>
      <c r="F34" s="407"/>
      <c r="G34" s="407"/>
      <c r="H34" s="408"/>
      <c r="I34" s="409"/>
      <c r="J34" s="405"/>
      <c r="K34" s="939"/>
      <c r="L34" s="940"/>
      <c r="T34" s="391"/>
      <c r="U34" s="391"/>
      <c r="V34" s="391"/>
      <c r="W34" s="391"/>
      <c r="X34" s="391"/>
    </row>
    <row r="35" spans="2:24" s="394" customFormat="1" ht="30" customHeight="1" thickBot="1" x14ac:dyDescent="0.4">
      <c r="B35" s="410" t="s">
        <v>723</v>
      </c>
      <c r="C35" s="941" t="s">
        <v>54</v>
      </c>
      <c r="D35" s="941"/>
      <c r="E35" s="941"/>
      <c r="F35" s="941"/>
      <c r="G35" s="941"/>
      <c r="H35" s="941"/>
      <c r="I35" s="941"/>
      <c r="J35" s="941"/>
      <c r="K35" s="939"/>
      <c r="L35" s="940"/>
      <c r="T35" s="391"/>
      <c r="U35" s="391"/>
      <c r="V35" s="391"/>
      <c r="W35" s="391"/>
      <c r="X35" s="391"/>
    </row>
    <row r="36" spans="2:24" s="394" customFormat="1" ht="64.95" customHeight="1" thickBot="1" x14ac:dyDescent="0.4">
      <c r="B36" s="403" t="s">
        <v>734</v>
      </c>
      <c r="C36" s="406"/>
      <c r="D36" s="407"/>
      <c r="E36" s="407"/>
      <c r="F36" s="407"/>
      <c r="G36" s="407"/>
      <c r="H36" s="408"/>
      <c r="I36" s="409"/>
      <c r="J36" s="405"/>
      <c r="K36" s="939"/>
      <c r="L36" s="940"/>
      <c r="T36" s="391"/>
      <c r="U36" s="391"/>
      <c r="V36" s="391"/>
      <c r="W36" s="391"/>
      <c r="X36" s="391"/>
    </row>
    <row r="37" spans="2:24" s="394" customFormat="1" ht="30" customHeight="1" thickBot="1" x14ac:dyDescent="0.4">
      <c r="B37" s="410" t="s">
        <v>723</v>
      </c>
      <c r="C37" s="941" t="s">
        <v>54</v>
      </c>
      <c r="D37" s="941"/>
      <c r="E37" s="941"/>
      <c r="F37" s="941"/>
      <c r="G37" s="941"/>
      <c r="H37" s="941"/>
      <c r="I37" s="941"/>
      <c r="J37" s="941"/>
      <c r="K37" s="939"/>
      <c r="L37" s="940"/>
      <c r="T37" s="391"/>
      <c r="U37" s="391"/>
      <c r="V37" s="391"/>
      <c r="W37" s="391"/>
      <c r="X37" s="391"/>
    </row>
    <row r="38" spans="2:24" s="394" customFormat="1" ht="64.95" customHeight="1" thickBot="1" x14ac:dyDescent="0.4">
      <c r="B38" s="403" t="s">
        <v>735</v>
      </c>
      <c r="C38" s="406"/>
      <c r="D38" s="407"/>
      <c r="E38" s="407"/>
      <c r="F38" s="407"/>
      <c r="G38" s="407"/>
      <c r="H38" s="408"/>
      <c r="I38" s="409"/>
      <c r="J38" s="405"/>
      <c r="K38" s="939"/>
      <c r="L38" s="940"/>
      <c r="T38" s="391"/>
      <c r="U38" s="391"/>
      <c r="V38" s="391"/>
      <c r="W38" s="391"/>
      <c r="X38" s="391"/>
    </row>
    <row r="39" spans="2:24" s="394" customFormat="1" ht="30" customHeight="1" thickBot="1" x14ac:dyDescent="0.4">
      <c r="B39" s="410" t="s">
        <v>723</v>
      </c>
      <c r="C39" s="941" t="s">
        <v>54</v>
      </c>
      <c r="D39" s="941"/>
      <c r="E39" s="941"/>
      <c r="F39" s="941"/>
      <c r="G39" s="941"/>
      <c r="H39" s="941"/>
      <c r="I39" s="941"/>
      <c r="J39" s="941"/>
      <c r="K39" s="939"/>
      <c r="L39" s="940"/>
      <c r="T39" s="391"/>
      <c r="U39" s="391"/>
      <c r="V39" s="391"/>
      <c r="W39" s="391"/>
      <c r="X39" s="391"/>
    </row>
    <row r="40" spans="2:24" s="394" customFormat="1" ht="64.95" customHeight="1" thickBot="1" x14ac:dyDescent="0.4">
      <c r="B40" s="403" t="s">
        <v>736</v>
      </c>
      <c r="C40" s="406"/>
      <c r="D40" s="407"/>
      <c r="E40" s="407"/>
      <c r="F40" s="407"/>
      <c r="G40" s="407"/>
      <c r="H40" s="408"/>
      <c r="I40" s="409"/>
      <c r="J40" s="405"/>
      <c r="K40" s="939"/>
      <c r="L40" s="940"/>
      <c r="T40" s="391"/>
      <c r="U40" s="391"/>
      <c r="V40" s="391"/>
      <c r="W40" s="391"/>
      <c r="X40" s="391"/>
    </row>
    <row r="41" spans="2:24" s="394" customFormat="1" ht="30" customHeight="1" thickBot="1" x14ac:dyDescent="0.4">
      <c r="B41" s="410" t="s">
        <v>723</v>
      </c>
      <c r="C41" s="941" t="s">
        <v>54</v>
      </c>
      <c r="D41" s="941"/>
      <c r="E41" s="941"/>
      <c r="F41" s="941"/>
      <c r="G41" s="941"/>
      <c r="H41" s="941"/>
      <c r="I41" s="941"/>
      <c r="J41" s="941"/>
      <c r="K41" s="939"/>
      <c r="L41" s="940"/>
      <c r="T41" s="391"/>
      <c r="U41" s="391"/>
      <c r="V41" s="391"/>
      <c r="W41" s="391"/>
      <c r="X41" s="391"/>
    </row>
    <row r="42" spans="2:24" s="394" customFormat="1" ht="64.95" customHeight="1" thickBot="1" x14ac:dyDescent="0.4">
      <c r="B42" s="403" t="s">
        <v>737</v>
      </c>
      <c r="C42" s="406"/>
      <c r="D42" s="407"/>
      <c r="E42" s="407"/>
      <c r="F42" s="407"/>
      <c r="G42" s="407"/>
      <c r="H42" s="408"/>
      <c r="I42" s="409"/>
      <c r="J42" s="405"/>
      <c r="K42" s="939"/>
      <c r="L42" s="940"/>
      <c r="T42" s="391"/>
      <c r="U42" s="391"/>
      <c r="V42" s="391"/>
      <c r="W42" s="391"/>
      <c r="X42" s="391"/>
    </row>
    <row r="43" spans="2:24" s="394" customFormat="1" ht="30" customHeight="1" thickBot="1" x14ac:dyDescent="0.4">
      <c r="B43" s="410" t="s">
        <v>723</v>
      </c>
      <c r="C43" s="941" t="s">
        <v>54</v>
      </c>
      <c r="D43" s="941"/>
      <c r="E43" s="941"/>
      <c r="F43" s="941"/>
      <c r="G43" s="941"/>
      <c r="H43" s="941"/>
      <c r="I43" s="941"/>
      <c r="J43" s="941"/>
      <c r="K43" s="939"/>
      <c r="L43" s="940"/>
      <c r="T43" s="391"/>
      <c r="U43" s="391"/>
      <c r="V43" s="391"/>
      <c r="W43" s="391"/>
      <c r="X43" s="391"/>
    </row>
    <row r="44" spans="2:24" s="7" customFormat="1" ht="25.05" customHeight="1" thickBot="1" x14ac:dyDescent="0.4">
      <c r="B44" s="927" t="s">
        <v>829</v>
      </c>
      <c r="C44" s="928"/>
      <c r="D44" s="928"/>
      <c r="E44" s="928"/>
      <c r="F44" s="928"/>
      <c r="G44" s="928"/>
      <c r="H44" s="928"/>
      <c r="I44" s="928"/>
      <c r="J44" s="928"/>
      <c r="K44" s="928"/>
      <c r="L44" s="928"/>
    </row>
    <row r="45" spans="2:24" s="394" customFormat="1" ht="64.95" customHeight="1" thickBot="1" x14ac:dyDescent="0.4">
      <c r="B45" s="403" t="s">
        <v>738</v>
      </c>
      <c r="C45" s="406"/>
      <c r="D45" s="407"/>
      <c r="E45" s="407"/>
      <c r="F45" s="407"/>
      <c r="G45" s="407"/>
      <c r="H45" s="407"/>
      <c r="I45" s="404"/>
      <c r="J45" s="405"/>
      <c r="K45" s="939"/>
      <c r="L45" s="940"/>
      <c r="T45" s="391"/>
      <c r="U45" s="391"/>
      <c r="V45" s="391"/>
      <c r="W45" s="391"/>
      <c r="X45" s="391"/>
    </row>
    <row r="46" spans="2:24" s="394" customFormat="1" ht="30" customHeight="1" thickBot="1" x14ac:dyDescent="0.4">
      <c r="B46" s="410" t="s">
        <v>723</v>
      </c>
      <c r="C46" s="941" t="s">
        <v>54</v>
      </c>
      <c r="D46" s="941"/>
      <c r="E46" s="941"/>
      <c r="F46" s="941"/>
      <c r="G46" s="941"/>
      <c r="H46" s="941"/>
      <c r="I46" s="941"/>
      <c r="J46" s="941"/>
      <c r="K46" s="939"/>
      <c r="L46" s="940"/>
      <c r="T46" s="391"/>
      <c r="U46" s="391"/>
      <c r="V46" s="391"/>
      <c r="W46" s="391"/>
      <c r="X46" s="391"/>
    </row>
    <row r="47" spans="2:24" s="394" customFormat="1" ht="64.95" customHeight="1" thickBot="1" x14ac:dyDescent="0.4">
      <c r="B47" s="403" t="s">
        <v>739</v>
      </c>
      <c r="C47" s="400" t="s">
        <v>740</v>
      </c>
      <c r="D47" s="400" t="s">
        <v>741</v>
      </c>
      <c r="E47" s="400" t="s">
        <v>742</v>
      </c>
      <c r="F47" s="400" t="s">
        <v>743</v>
      </c>
      <c r="G47" s="400" t="s">
        <v>744</v>
      </c>
      <c r="H47" s="400" t="s">
        <v>745</v>
      </c>
      <c r="I47" s="404" t="s">
        <v>746</v>
      </c>
      <c r="J47" s="405" t="s">
        <v>747</v>
      </c>
      <c r="K47" s="939" t="s">
        <v>748</v>
      </c>
      <c r="L47" s="940"/>
      <c r="T47" s="391"/>
      <c r="U47" s="391"/>
      <c r="V47" s="391"/>
      <c r="W47" s="391"/>
      <c r="X47" s="391"/>
    </row>
    <row r="48" spans="2:24" s="394" customFormat="1" ht="30" customHeight="1" thickBot="1" x14ac:dyDescent="0.4">
      <c r="B48" s="410" t="s">
        <v>723</v>
      </c>
      <c r="C48" s="941" t="s">
        <v>768</v>
      </c>
      <c r="D48" s="941"/>
      <c r="E48" s="941"/>
      <c r="F48" s="941"/>
      <c r="G48" s="941"/>
      <c r="H48" s="941"/>
      <c r="I48" s="941"/>
      <c r="J48" s="941"/>
      <c r="K48" s="939"/>
      <c r="L48" s="940"/>
      <c r="T48" s="391"/>
      <c r="U48" s="391"/>
      <c r="V48" s="391"/>
      <c r="W48" s="391"/>
      <c r="X48" s="391"/>
    </row>
    <row r="49" spans="2:24" s="394" customFormat="1" ht="64.95" customHeight="1" thickBot="1" x14ac:dyDescent="0.4">
      <c r="B49" s="403" t="s">
        <v>749</v>
      </c>
      <c r="C49" s="406"/>
      <c r="D49" s="407"/>
      <c r="E49" s="407"/>
      <c r="F49" s="407"/>
      <c r="G49" s="407"/>
      <c r="H49" s="408"/>
      <c r="I49" s="409"/>
      <c r="J49" s="405"/>
      <c r="K49" s="939"/>
      <c r="L49" s="940"/>
      <c r="T49" s="391"/>
      <c r="U49" s="391"/>
      <c r="V49" s="391"/>
      <c r="W49" s="391"/>
      <c r="X49" s="391"/>
    </row>
    <row r="50" spans="2:24" s="394" customFormat="1" ht="30" customHeight="1" thickBot="1" x14ac:dyDescent="0.4">
      <c r="B50" s="410" t="s">
        <v>723</v>
      </c>
      <c r="C50" s="941" t="s">
        <v>54</v>
      </c>
      <c r="D50" s="941"/>
      <c r="E50" s="941"/>
      <c r="F50" s="941"/>
      <c r="G50" s="941"/>
      <c r="H50" s="941"/>
      <c r="I50" s="941"/>
      <c r="J50" s="941"/>
      <c r="K50" s="939"/>
      <c r="L50" s="940"/>
      <c r="T50" s="391"/>
      <c r="U50" s="391"/>
      <c r="V50" s="391"/>
      <c r="W50" s="391"/>
      <c r="X50" s="391"/>
    </row>
    <row r="51" spans="2:24" s="394" customFormat="1" ht="64.95" customHeight="1" thickBot="1" x14ac:dyDescent="0.4">
      <c r="B51" s="403" t="s">
        <v>750</v>
      </c>
      <c r="C51" s="406"/>
      <c r="D51" s="407"/>
      <c r="E51" s="407"/>
      <c r="F51" s="407"/>
      <c r="G51" s="407"/>
      <c r="H51" s="408"/>
      <c r="I51" s="409"/>
      <c r="J51" s="405"/>
      <c r="K51" s="939"/>
      <c r="L51" s="940"/>
      <c r="T51" s="391"/>
      <c r="U51" s="391"/>
      <c r="V51" s="391"/>
      <c r="W51" s="391"/>
      <c r="X51" s="391"/>
    </row>
    <row r="52" spans="2:24" s="394" customFormat="1" ht="30" customHeight="1" thickBot="1" x14ac:dyDescent="0.4">
      <c r="B52" s="410" t="s">
        <v>723</v>
      </c>
      <c r="C52" s="941" t="s">
        <v>54</v>
      </c>
      <c r="D52" s="941"/>
      <c r="E52" s="941"/>
      <c r="F52" s="941"/>
      <c r="G52" s="941"/>
      <c r="H52" s="941"/>
      <c r="I52" s="941"/>
      <c r="J52" s="941"/>
      <c r="K52" s="939"/>
      <c r="L52" s="940"/>
      <c r="T52" s="391"/>
      <c r="U52" s="391"/>
      <c r="V52" s="391"/>
      <c r="W52" s="391"/>
      <c r="X52" s="391"/>
    </row>
    <row r="53" spans="2:24" s="394" customFormat="1" ht="64.95" customHeight="1" thickBot="1" x14ac:dyDescent="0.4">
      <c r="B53" s="403" t="s">
        <v>751</v>
      </c>
      <c r="C53" s="406"/>
      <c r="D53" s="407"/>
      <c r="E53" s="407"/>
      <c r="F53" s="407"/>
      <c r="G53" s="407"/>
      <c r="H53" s="408"/>
      <c r="I53" s="409"/>
      <c r="J53" s="405"/>
      <c r="K53" s="939"/>
      <c r="L53" s="940"/>
      <c r="T53" s="391"/>
      <c r="U53" s="391"/>
      <c r="V53" s="391"/>
      <c r="W53" s="391"/>
      <c r="X53" s="391"/>
    </row>
    <row r="54" spans="2:24" s="394" customFormat="1" ht="30" customHeight="1" thickBot="1" x14ac:dyDescent="0.4">
      <c r="B54" s="410" t="s">
        <v>723</v>
      </c>
      <c r="C54" s="941" t="s">
        <v>54</v>
      </c>
      <c r="D54" s="941"/>
      <c r="E54" s="941"/>
      <c r="F54" s="941"/>
      <c r="G54" s="941"/>
      <c r="H54" s="941"/>
      <c r="I54" s="941"/>
      <c r="J54" s="941"/>
      <c r="K54" s="939"/>
      <c r="L54" s="940"/>
      <c r="T54" s="391"/>
      <c r="U54" s="391"/>
      <c r="V54" s="391"/>
      <c r="W54" s="391"/>
      <c r="X54" s="391"/>
    </row>
    <row r="55" spans="2:24" s="394" customFormat="1" ht="64.95" customHeight="1" thickBot="1" x14ac:dyDescent="0.4">
      <c r="B55" s="403" t="s">
        <v>752</v>
      </c>
      <c r="C55" s="406"/>
      <c r="D55" s="407"/>
      <c r="E55" s="407"/>
      <c r="F55" s="407"/>
      <c r="G55" s="407"/>
      <c r="H55" s="408"/>
      <c r="I55" s="409"/>
      <c r="J55" s="405"/>
      <c r="K55" s="939"/>
      <c r="L55" s="940"/>
      <c r="T55" s="391"/>
      <c r="U55" s="391"/>
      <c r="V55" s="391"/>
      <c r="W55" s="391"/>
      <c r="X55" s="391"/>
    </row>
    <row r="56" spans="2:24" s="394" customFormat="1" ht="30" customHeight="1" thickBot="1" x14ac:dyDescent="0.4">
      <c r="B56" s="410" t="s">
        <v>723</v>
      </c>
      <c r="C56" s="941" t="s">
        <v>54</v>
      </c>
      <c r="D56" s="941"/>
      <c r="E56" s="941"/>
      <c r="F56" s="941"/>
      <c r="G56" s="941"/>
      <c r="H56" s="941"/>
      <c r="I56" s="941"/>
      <c r="J56" s="941"/>
      <c r="K56" s="939"/>
      <c r="L56" s="940"/>
      <c r="T56" s="391"/>
      <c r="U56" s="391"/>
      <c r="V56" s="391"/>
      <c r="W56" s="391"/>
      <c r="X56" s="391"/>
    </row>
    <row r="57" spans="2:24" s="394" customFormat="1" ht="64.95" customHeight="1" thickBot="1" x14ac:dyDescent="0.4">
      <c r="B57" s="403" t="s">
        <v>753</v>
      </c>
      <c r="C57" s="406"/>
      <c r="D57" s="407"/>
      <c r="E57" s="407"/>
      <c r="F57" s="407"/>
      <c r="G57" s="407"/>
      <c r="H57" s="408"/>
      <c r="I57" s="409"/>
      <c r="J57" s="405"/>
      <c r="K57" s="939"/>
      <c r="L57" s="940"/>
      <c r="T57" s="391"/>
      <c r="U57" s="391"/>
      <c r="V57" s="391"/>
      <c r="W57" s="391"/>
      <c r="X57" s="391"/>
    </row>
    <row r="58" spans="2:24" s="394" customFormat="1" ht="30" customHeight="1" thickBot="1" x14ac:dyDescent="0.4">
      <c r="B58" s="410" t="s">
        <v>723</v>
      </c>
      <c r="C58" s="941" t="s">
        <v>54</v>
      </c>
      <c r="D58" s="941"/>
      <c r="E58" s="941"/>
      <c r="F58" s="941"/>
      <c r="G58" s="941"/>
      <c r="H58" s="941"/>
      <c r="I58" s="941"/>
      <c r="J58" s="941"/>
      <c r="K58" s="939"/>
      <c r="L58" s="940"/>
      <c r="T58" s="391"/>
      <c r="U58" s="391"/>
      <c r="V58" s="391"/>
      <c r="W58" s="391"/>
      <c r="X58" s="391"/>
    </row>
    <row r="59" spans="2:24" s="394" customFormat="1" ht="64.95" customHeight="1" thickBot="1" x14ac:dyDescent="0.4">
      <c r="B59" s="403" t="s">
        <v>754</v>
      </c>
      <c r="C59" s="406"/>
      <c r="D59" s="407"/>
      <c r="E59" s="407"/>
      <c r="F59" s="407"/>
      <c r="G59" s="407"/>
      <c r="H59" s="408"/>
      <c r="I59" s="409"/>
      <c r="J59" s="405"/>
      <c r="K59" s="939"/>
      <c r="L59" s="940"/>
      <c r="T59" s="391"/>
      <c r="U59" s="391"/>
      <c r="V59" s="391"/>
      <c r="W59" s="391"/>
      <c r="X59" s="391"/>
    </row>
    <row r="60" spans="2:24" s="394" customFormat="1" ht="30" customHeight="1" thickBot="1" x14ac:dyDescent="0.4">
      <c r="B60" s="410" t="s">
        <v>723</v>
      </c>
      <c r="C60" s="941" t="s">
        <v>54</v>
      </c>
      <c r="D60" s="941"/>
      <c r="E60" s="941"/>
      <c r="F60" s="941"/>
      <c r="G60" s="941"/>
      <c r="H60" s="941"/>
      <c r="I60" s="941"/>
      <c r="J60" s="941"/>
      <c r="K60" s="939"/>
      <c r="L60" s="940"/>
      <c r="T60" s="391"/>
      <c r="U60" s="391"/>
      <c r="V60" s="391"/>
      <c r="W60" s="391"/>
      <c r="X60" s="391"/>
    </row>
    <row r="61" spans="2:24" s="394" customFormat="1" ht="64.95" customHeight="1" thickBot="1" x14ac:dyDescent="0.4">
      <c r="B61" s="403" t="s">
        <v>755</v>
      </c>
      <c r="C61" s="406"/>
      <c r="D61" s="407"/>
      <c r="E61" s="407"/>
      <c r="F61" s="407"/>
      <c r="G61" s="407"/>
      <c r="H61" s="408"/>
      <c r="I61" s="409"/>
      <c r="J61" s="405"/>
      <c r="K61" s="939"/>
      <c r="L61" s="940"/>
      <c r="T61" s="391"/>
      <c r="U61" s="391"/>
      <c r="V61" s="391"/>
      <c r="W61" s="391"/>
      <c r="X61" s="391"/>
    </row>
    <row r="62" spans="2:24" s="394" customFormat="1" ht="30" customHeight="1" x14ac:dyDescent="0.35">
      <c r="B62" s="411" t="s">
        <v>723</v>
      </c>
      <c r="C62" s="944" t="s">
        <v>54</v>
      </c>
      <c r="D62" s="944"/>
      <c r="E62" s="944"/>
      <c r="F62" s="944"/>
      <c r="G62" s="944"/>
      <c r="H62" s="944"/>
      <c r="I62" s="944"/>
      <c r="J62" s="944"/>
      <c r="K62" s="942"/>
      <c r="L62" s="943"/>
      <c r="T62" s="391"/>
      <c r="U62" s="391"/>
      <c r="V62" s="391"/>
      <c r="W62" s="391"/>
      <c r="X62" s="391"/>
    </row>
    <row r="63" spans="2:24" x14ac:dyDescent="0.35">
      <c r="B63" s="945"/>
      <c r="C63" s="945"/>
      <c r="D63" s="945"/>
      <c r="T63" s="391"/>
      <c r="U63" s="391"/>
      <c r="V63" s="391"/>
      <c r="W63" s="391"/>
      <c r="X63" s="391"/>
    </row>
    <row r="64" spans="2:24" ht="19.95" customHeight="1" x14ac:dyDescent="0.35">
      <c r="B64" s="946" t="s">
        <v>0</v>
      </c>
      <c r="C64" s="540"/>
      <c r="D64" s="540"/>
      <c r="E64" s="540"/>
      <c r="F64" s="540"/>
      <c r="G64" s="540"/>
      <c r="H64" s="7"/>
      <c r="I64" s="7"/>
      <c r="J64" s="7"/>
      <c r="K64" s="7"/>
      <c r="L64" s="7"/>
      <c r="M64" s="7"/>
    </row>
    <row r="65" spans="2:13" s="2" customFormat="1" ht="19.95" customHeight="1" x14ac:dyDescent="0.35">
      <c r="B65" s="530" t="s">
        <v>23</v>
      </c>
      <c r="C65" s="531"/>
      <c r="D65" s="531"/>
      <c r="E65" s="531"/>
      <c r="F65" s="531"/>
      <c r="G65" s="532"/>
      <c r="H65" s="416"/>
      <c r="I65" s="416"/>
      <c r="J65" s="416"/>
      <c r="K65" s="416"/>
      <c r="L65" s="416"/>
      <c r="M65" s="416"/>
    </row>
    <row r="66" spans="2:13" s="2" customFormat="1" ht="19.95" customHeight="1" x14ac:dyDescent="0.35">
      <c r="B66" s="533" t="s">
        <v>32</v>
      </c>
      <c r="C66" s="534"/>
      <c r="D66" s="534"/>
      <c r="E66" s="534"/>
      <c r="F66" s="534"/>
      <c r="G66" s="535"/>
      <c r="H66" s="416"/>
      <c r="I66" s="416"/>
      <c r="J66" s="416"/>
      <c r="K66" s="416"/>
      <c r="L66" s="416"/>
      <c r="M66" s="416"/>
    </row>
    <row r="67" spans="2:13" s="2" customFormat="1" ht="19.95" customHeight="1" x14ac:dyDescent="0.35">
      <c r="B67" s="536" t="s">
        <v>41</v>
      </c>
      <c r="C67" s="537"/>
      <c r="D67" s="537"/>
      <c r="E67" s="537"/>
      <c r="F67" s="537"/>
      <c r="G67" s="538"/>
      <c r="H67" s="416"/>
      <c r="I67" s="416"/>
      <c r="J67" s="416"/>
      <c r="K67" s="416"/>
      <c r="L67" s="416"/>
      <c r="M67" s="416"/>
    </row>
  </sheetData>
  <mergeCells count="67">
    <mergeCell ref="B7:D7"/>
    <mergeCell ref="B10:D10"/>
    <mergeCell ref="B64:G64"/>
    <mergeCell ref="B65:G65"/>
    <mergeCell ref="B66:G66"/>
    <mergeCell ref="B8:J8"/>
    <mergeCell ref="H12:L12"/>
    <mergeCell ref="B9:J9"/>
    <mergeCell ref="K11:L11"/>
    <mergeCell ref="B12:G12"/>
    <mergeCell ref="K13:L14"/>
    <mergeCell ref="C14:J14"/>
    <mergeCell ref="K53:L54"/>
    <mergeCell ref="C54:J54"/>
    <mergeCell ref="K55:L56"/>
    <mergeCell ref="C56:J56"/>
    <mergeCell ref="B67:G67"/>
    <mergeCell ref="K59:L60"/>
    <mergeCell ref="C60:J60"/>
    <mergeCell ref="K61:L62"/>
    <mergeCell ref="C62:J62"/>
    <mergeCell ref="B63:D63"/>
    <mergeCell ref="K57:L58"/>
    <mergeCell ref="C58:J58"/>
    <mergeCell ref="K47:L48"/>
    <mergeCell ref="C48:J48"/>
    <mergeCell ref="K49:L50"/>
    <mergeCell ref="C50:J50"/>
    <mergeCell ref="K51:L52"/>
    <mergeCell ref="C52:J52"/>
    <mergeCell ref="K30:L31"/>
    <mergeCell ref="C31:J31"/>
    <mergeCell ref="K32:L33"/>
    <mergeCell ref="C33:J33"/>
    <mergeCell ref="K45:L46"/>
    <mergeCell ref="C46:J46"/>
    <mergeCell ref="K34:L35"/>
    <mergeCell ref="C35:J35"/>
    <mergeCell ref="K36:L37"/>
    <mergeCell ref="C37:J37"/>
    <mergeCell ref="K38:L39"/>
    <mergeCell ref="C39:J39"/>
    <mergeCell ref="K40:L41"/>
    <mergeCell ref="C41:J41"/>
    <mergeCell ref="K42:L43"/>
    <mergeCell ref="C43:J43"/>
    <mergeCell ref="K28:L29"/>
    <mergeCell ref="C29:J29"/>
    <mergeCell ref="B23:L23"/>
    <mergeCell ref="K26:L27"/>
    <mergeCell ref="C27:J27"/>
    <mergeCell ref="B44:L44"/>
    <mergeCell ref="B2:J2"/>
    <mergeCell ref="B3:H3"/>
    <mergeCell ref="I3:J3"/>
    <mergeCell ref="B4:G4"/>
    <mergeCell ref="B6:G6"/>
    <mergeCell ref="K15:L16"/>
    <mergeCell ref="C16:J16"/>
    <mergeCell ref="K17:L18"/>
    <mergeCell ref="C18:J18"/>
    <mergeCell ref="K19:L20"/>
    <mergeCell ref="C20:J20"/>
    <mergeCell ref="K21:L22"/>
    <mergeCell ref="C22:J22"/>
    <mergeCell ref="K24:L25"/>
    <mergeCell ref="C25:J25"/>
  </mergeCells>
  <hyperlinks>
    <hyperlink ref="I3:J3" r:id="rId1" display="FFBB Positive Pursuit Action Guide" xr:uid="{6FAD16DC-7109-42BD-AF7F-1F1202DE7204}"/>
  </hyperlinks>
  <pageMargins left="0.7" right="0.7" top="0.75" bottom="0.75" header="0.3" footer="0.3"/>
  <pageSetup orientation="portrait" horizontalDpi="0" verticalDpi="0" r:id="rId2"/>
  <drawing r:id="rId3"/>
  <pictur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0457-B5AF-47A1-8F87-122FA95EA81A}">
  <sheetPr>
    <tabColor theme="7" tint="0.79998168889431442"/>
    <pageSetUpPr autoPageBreaks="0"/>
  </sheetPr>
  <dimension ref="A1:Z113"/>
  <sheetViews>
    <sheetView showGridLines="0" zoomScale="85" zoomScaleNormal="85" workbookViewId="0"/>
  </sheetViews>
  <sheetFormatPr defaultColWidth="8.77734375" defaultRowHeight="15" x14ac:dyDescent="0.35"/>
  <cols>
    <col min="1" max="1" width="2.77734375" style="1" customWidth="1"/>
    <col min="2" max="2" width="12.88671875" style="1" customWidth="1"/>
    <col min="3" max="3" width="14.77734375" style="1" customWidth="1"/>
    <col min="4" max="4" width="16.21875" style="1" customWidth="1"/>
    <col min="5" max="5" width="12.77734375" style="22" customWidth="1"/>
    <col min="6" max="11" width="10.6640625" style="1" customWidth="1"/>
    <col min="12" max="12" width="2.6640625" style="1" customWidth="1"/>
    <col min="13" max="18" width="10.6640625" style="1" customWidth="1"/>
    <col min="19" max="19" width="2.6640625" style="1" customWidth="1"/>
    <col min="20" max="24" width="10.6640625" style="1" customWidth="1"/>
    <col min="25" max="25" width="15.6640625" style="1" customWidth="1"/>
    <col min="26" max="26" width="17.33203125" style="1" customWidth="1"/>
    <col min="27" max="16384" width="8.77734375" style="1"/>
  </cols>
  <sheetData>
    <row r="1" spans="2:25" ht="11.55" customHeight="1" x14ac:dyDescent="0.35">
      <c r="E1" s="1"/>
    </row>
    <row r="2" spans="2:25" ht="45" customHeight="1" x14ac:dyDescent="0.35">
      <c r="B2" s="983" t="s">
        <v>30</v>
      </c>
      <c r="C2" s="984"/>
      <c r="D2" s="984"/>
      <c r="E2" s="984"/>
      <c r="F2" s="984"/>
      <c r="G2" s="984"/>
      <c r="H2" s="984"/>
      <c r="I2" s="984"/>
      <c r="J2" s="984"/>
      <c r="K2" s="984"/>
      <c r="L2" s="984"/>
      <c r="M2" s="984"/>
      <c r="N2" s="984"/>
      <c r="O2" s="984"/>
      <c r="P2" s="984"/>
      <c r="Q2" s="984"/>
      <c r="R2" s="984"/>
      <c r="S2" s="984"/>
      <c r="T2" s="984"/>
      <c r="U2" s="984"/>
      <c r="V2" s="984"/>
      <c r="W2" s="984"/>
      <c r="X2" s="985"/>
    </row>
    <row r="3" spans="2:25" ht="42.45" customHeight="1" x14ac:dyDescent="0.35">
      <c r="B3" s="986" t="s">
        <v>762</v>
      </c>
      <c r="C3" s="987"/>
      <c r="D3" s="987"/>
      <c r="E3" s="987"/>
      <c r="F3" s="987"/>
      <c r="G3" s="987"/>
      <c r="H3" s="987"/>
      <c r="I3" s="987"/>
      <c r="J3" s="987"/>
      <c r="K3" s="987"/>
      <c r="L3" s="987"/>
      <c r="M3" s="987"/>
      <c r="N3" s="987"/>
      <c r="O3" s="987"/>
      <c r="P3" s="987"/>
      <c r="Q3" s="987"/>
      <c r="R3" s="987"/>
      <c r="S3" s="987"/>
      <c r="T3" s="987"/>
      <c r="U3" s="987"/>
      <c r="V3" s="987"/>
      <c r="W3" s="987"/>
      <c r="X3" s="988"/>
    </row>
    <row r="4" spans="2:25" ht="10.050000000000001" customHeight="1" x14ac:dyDescent="0.35">
      <c r="B4" s="26"/>
      <c r="C4" s="26"/>
      <c r="D4" s="26"/>
      <c r="E4" s="26"/>
      <c r="F4" s="26"/>
      <c r="G4" s="26"/>
      <c r="H4" s="26"/>
      <c r="I4" s="26"/>
      <c r="J4" s="26"/>
      <c r="K4" s="26"/>
      <c r="L4" s="26"/>
      <c r="M4" s="26"/>
      <c r="N4" s="26"/>
      <c r="O4" s="26"/>
      <c r="P4" s="26"/>
      <c r="Q4" s="26"/>
      <c r="R4" s="26"/>
      <c r="S4" s="26"/>
      <c r="T4" s="26"/>
      <c r="U4" s="26"/>
      <c r="V4" s="26"/>
      <c r="W4" s="26"/>
      <c r="X4" s="27"/>
    </row>
    <row r="5" spans="2:25" ht="27.45" customHeight="1" x14ac:dyDescent="0.35">
      <c r="B5" s="996" t="s">
        <v>52</v>
      </c>
      <c r="C5" s="997"/>
      <c r="D5" s="997"/>
      <c r="E5" s="989" t="s">
        <v>761</v>
      </c>
      <c r="F5" s="991" t="s">
        <v>27</v>
      </c>
      <c r="G5" s="991"/>
      <c r="H5" s="991"/>
      <c r="I5" s="991"/>
      <c r="J5" s="991"/>
      <c r="K5" s="992"/>
      <c r="L5" s="17"/>
      <c r="M5" s="998" t="s">
        <v>26</v>
      </c>
      <c r="N5" s="991"/>
      <c r="O5" s="991"/>
      <c r="P5" s="991"/>
      <c r="Q5" s="991"/>
      <c r="R5" s="991"/>
      <c r="S5" s="17"/>
      <c r="T5" s="991" t="s">
        <v>53</v>
      </c>
      <c r="U5" s="991"/>
      <c r="V5" s="991"/>
      <c r="W5" s="991"/>
      <c r="X5" s="992"/>
    </row>
    <row r="6" spans="2:25" s="17" customFormat="1" ht="25.05" customHeight="1" x14ac:dyDescent="0.3">
      <c r="B6" s="996"/>
      <c r="C6" s="997"/>
      <c r="D6" s="997"/>
      <c r="E6" s="990"/>
      <c r="F6" s="18"/>
      <c r="G6" s="18"/>
      <c r="H6" s="18"/>
      <c r="I6" s="18"/>
      <c r="J6" s="18"/>
      <c r="K6" s="18"/>
      <c r="M6" s="18"/>
      <c r="N6" s="18"/>
      <c r="O6" s="18"/>
      <c r="P6" s="18"/>
      <c r="Q6" s="18"/>
      <c r="R6" s="18"/>
      <c r="T6" s="18"/>
      <c r="U6" s="18"/>
      <c r="V6" s="18"/>
      <c r="W6" s="18"/>
      <c r="X6" s="18"/>
    </row>
    <row r="7" spans="2:25" s="17" customFormat="1" ht="32.549999999999997" customHeight="1" x14ac:dyDescent="0.3">
      <c r="B7" s="996"/>
      <c r="C7" s="997"/>
      <c r="D7" s="997"/>
      <c r="E7" s="990"/>
      <c r="F7" s="18"/>
      <c r="G7" s="18"/>
      <c r="H7" s="18"/>
      <c r="I7" s="18"/>
      <c r="J7" s="18"/>
      <c r="K7" s="18"/>
      <c r="M7" s="18"/>
      <c r="N7" s="18"/>
      <c r="O7" s="18"/>
      <c r="P7" s="18"/>
      <c r="Q7" s="18"/>
      <c r="R7" s="18"/>
      <c r="T7" s="18"/>
      <c r="U7" s="18"/>
      <c r="V7" s="18"/>
      <c r="W7" s="18"/>
      <c r="X7" s="18"/>
    </row>
    <row r="8" spans="2:25" ht="10.050000000000001" customHeight="1" x14ac:dyDescent="0.35">
      <c r="B8" s="42"/>
      <c r="C8" s="43"/>
      <c r="D8" s="43"/>
      <c r="E8" s="19"/>
      <c r="F8" s="460"/>
      <c r="G8" s="460"/>
      <c r="H8" s="460"/>
      <c r="I8" s="460"/>
      <c r="J8" s="460"/>
      <c r="K8" s="460"/>
      <c r="L8" s="460"/>
      <c r="M8" s="460"/>
      <c r="N8" s="460"/>
      <c r="O8" s="460"/>
      <c r="P8" s="460"/>
      <c r="Q8" s="460"/>
      <c r="R8" s="460"/>
      <c r="S8" s="460"/>
      <c r="T8" s="460"/>
      <c r="U8" s="460"/>
      <c r="V8" s="460"/>
      <c r="W8" s="460"/>
      <c r="X8" s="461"/>
      <c r="Y8" s="459"/>
    </row>
    <row r="9" spans="2:25" ht="34.950000000000003" customHeight="1" x14ac:dyDescent="0.35">
      <c r="B9" s="999" t="s">
        <v>43</v>
      </c>
      <c r="C9" s="1000"/>
      <c r="D9" s="1001"/>
      <c r="E9" s="465">
        <f>'Break-Even Scores'!$E$7</f>
        <v>0.55000000000000004</v>
      </c>
      <c r="F9" s="465">
        <f t="shared" ref="F9:K9" si="0">$E$9</f>
        <v>0.55000000000000004</v>
      </c>
      <c r="G9" s="465">
        <f t="shared" si="0"/>
        <v>0.55000000000000004</v>
      </c>
      <c r="H9" s="465">
        <f t="shared" si="0"/>
        <v>0.55000000000000004</v>
      </c>
      <c r="I9" s="465">
        <f t="shared" si="0"/>
        <v>0.55000000000000004</v>
      </c>
      <c r="J9" s="465">
        <f t="shared" si="0"/>
        <v>0.55000000000000004</v>
      </c>
      <c r="K9" s="465">
        <f t="shared" si="0"/>
        <v>0.55000000000000004</v>
      </c>
      <c r="L9" s="466"/>
      <c r="M9" s="465">
        <f t="shared" ref="M9:R9" si="1">$E$9</f>
        <v>0.55000000000000004</v>
      </c>
      <c r="N9" s="465">
        <f t="shared" si="1"/>
        <v>0.55000000000000004</v>
      </c>
      <c r="O9" s="465">
        <f t="shared" si="1"/>
        <v>0.55000000000000004</v>
      </c>
      <c r="P9" s="465">
        <f t="shared" si="1"/>
        <v>0.55000000000000004</v>
      </c>
      <c r="Q9" s="465">
        <f t="shared" si="1"/>
        <v>0.55000000000000004</v>
      </c>
      <c r="R9" s="465">
        <f t="shared" si="1"/>
        <v>0.55000000000000004</v>
      </c>
      <c r="S9" s="467"/>
      <c r="T9" s="465">
        <f>$E$9</f>
        <v>0.55000000000000004</v>
      </c>
      <c r="U9" s="465">
        <f>$E$9</f>
        <v>0.55000000000000004</v>
      </c>
      <c r="V9" s="465">
        <f>$E$9</f>
        <v>0.55000000000000004</v>
      </c>
      <c r="W9" s="465">
        <f>$E$9</f>
        <v>0.55000000000000004</v>
      </c>
      <c r="X9" s="465">
        <f>$E$9</f>
        <v>0.55000000000000004</v>
      </c>
      <c r="Y9" s="468"/>
    </row>
    <row r="10" spans="2:25" ht="10.050000000000001" customHeight="1" x14ac:dyDescent="0.35">
      <c r="B10" s="469"/>
      <c r="C10" s="470"/>
      <c r="D10" s="470"/>
      <c r="E10" s="470"/>
      <c r="F10" s="470"/>
      <c r="G10" s="470"/>
      <c r="H10" s="470"/>
      <c r="I10" s="470"/>
      <c r="J10" s="470"/>
      <c r="K10" s="470"/>
      <c r="L10" s="470"/>
      <c r="M10" s="470"/>
      <c r="N10" s="470"/>
      <c r="O10" s="470"/>
      <c r="P10" s="470"/>
      <c r="Q10" s="470"/>
      <c r="R10" s="470"/>
      <c r="S10" s="470"/>
      <c r="T10" s="470"/>
      <c r="U10" s="470"/>
      <c r="V10" s="470"/>
      <c r="W10" s="470"/>
      <c r="X10" s="471"/>
      <c r="Y10" s="468"/>
    </row>
    <row r="11" spans="2:25" ht="30" customHeight="1" x14ac:dyDescent="0.35">
      <c r="B11" s="993" t="s">
        <v>28</v>
      </c>
      <c r="C11" s="994"/>
      <c r="D11" s="995"/>
      <c r="E11" s="493">
        <f>'Break-Even Scores'!$E$10</f>
        <v>0.11214953271028037</v>
      </c>
      <c r="F11" s="472">
        <f>$E$11</f>
        <v>0.11214953271028037</v>
      </c>
      <c r="G11" s="465">
        <f>$E$11</f>
        <v>0.11214953271028037</v>
      </c>
      <c r="H11" s="473"/>
      <c r="I11" s="473"/>
      <c r="J11" s="473"/>
      <c r="K11" s="473"/>
      <c r="L11" s="474"/>
      <c r="M11" s="473"/>
      <c r="N11" s="473"/>
      <c r="O11" s="473"/>
      <c r="P11" s="473"/>
      <c r="Q11" s="473"/>
      <c r="R11" s="473"/>
      <c r="S11" s="474"/>
      <c r="T11" s="473"/>
      <c r="U11" s="473"/>
      <c r="V11" s="473"/>
      <c r="W11" s="473"/>
      <c r="X11" s="475"/>
      <c r="Y11" s="468"/>
    </row>
    <row r="12" spans="2:25" ht="30" customHeight="1" x14ac:dyDescent="0.35">
      <c r="B12" s="993" t="s">
        <v>705</v>
      </c>
      <c r="C12" s="994"/>
      <c r="D12" s="995"/>
      <c r="E12" s="493">
        <f>+'Break-Even Scores'!$E$17</f>
        <v>0.29853228962818001</v>
      </c>
      <c r="F12" s="472">
        <f>$E$12</f>
        <v>0.29853228962818001</v>
      </c>
      <c r="G12" s="465">
        <f>$E$12</f>
        <v>0.29853228962818001</v>
      </c>
      <c r="H12" s="476"/>
      <c r="I12" s="476"/>
      <c r="J12" s="476"/>
      <c r="K12" s="476"/>
      <c r="L12" s="467"/>
      <c r="M12" s="476"/>
      <c r="N12" s="476"/>
      <c r="O12" s="476"/>
      <c r="P12" s="476"/>
      <c r="Q12" s="476"/>
      <c r="R12" s="476"/>
      <c r="S12" s="467"/>
      <c r="T12" s="476"/>
      <c r="U12" s="476"/>
      <c r="V12" s="476"/>
      <c r="W12" s="476"/>
      <c r="X12" s="477"/>
      <c r="Y12" s="468"/>
    </row>
    <row r="13" spans="2:25" ht="30" customHeight="1" x14ac:dyDescent="0.35">
      <c r="B13" s="993" t="s">
        <v>706</v>
      </c>
      <c r="C13" s="994"/>
      <c r="D13" s="995"/>
      <c r="E13" s="493">
        <f>'Break-Even Scores'!$E$22</f>
        <v>0.69237868184265172</v>
      </c>
      <c r="F13" s="472">
        <f>$E$12</f>
        <v>0.29853228962818001</v>
      </c>
      <c r="G13" s="465">
        <f>$E$12</f>
        <v>0.29853228962818001</v>
      </c>
      <c r="H13" s="476"/>
      <c r="I13" s="476"/>
      <c r="J13" s="476"/>
      <c r="K13" s="476"/>
      <c r="L13" s="467"/>
      <c r="M13" s="476"/>
      <c r="N13" s="476"/>
      <c r="O13" s="476"/>
      <c r="P13" s="476"/>
      <c r="Q13" s="476"/>
      <c r="R13" s="476"/>
      <c r="S13" s="467"/>
      <c r="T13" s="476"/>
      <c r="U13" s="476"/>
      <c r="V13" s="476"/>
      <c r="W13" s="476"/>
      <c r="X13" s="477"/>
      <c r="Y13" s="468"/>
    </row>
    <row r="14" spans="2:25" ht="34.950000000000003" customHeight="1" x14ac:dyDescent="0.35">
      <c r="B14" s="1002" t="s">
        <v>1</v>
      </c>
      <c r="C14" s="1003"/>
      <c r="D14" s="1004"/>
      <c r="E14" s="493">
        <f>'Break-Even Scores'!$E$11</f>
        <v>0.78169014084507038</v>
      </c>
      <c r="F14" s="478"/>
      <c r="G14" s="476"/>
      <c r="H14" s="465">
        <f>$E$14</f>
        <v>0.78169014084507038</v>
      </c>
      <c r="I14" s="476"/>
      <c r="J14" s="476"/>
      <c r="K14" s="476"/>
      <c r="L14" s="467"/>
      <c r="M14" s="476"/>
      <c r="N14" s="476"/>
      <c r="O14" s="476"/>
      <c r="P14" s="476"/>
      <c r="Q14" s="476"/>
      <c r="R14" s="476"/>
      <c r="S14" s="467"/>
      <c r="T14" s="476"/>
      <c r="U14" s="476"/>
      <c r="V14" s="476"/>
      <c r="W14" s="476"/>
      <c r="X14" s="477"/>
      <c r="Y14" s="468"/>
    </row>
    <row r="15" spans="2:25" ht="30" customHeight="1" x14ac:dyDescent="0.35">
      <c r="B15" s="1002" t="s">
        <v>707</v>
      </c>
      <c r="C15" s="1003"/>
      <c r="D15" s="1004"/>
      <c r="E15" s="493">
        <f>'Break-Even Scores'!$E$12</f>
        <v>1</v>
      </c>
      <c r="F15" s="478"/>
      <c r="G15" s="476"/>
      <c r="H15" s="476"/>
      <c r="I15" s="465">
        <f>$E$15</f>
        <v>1</v>
      </c>
      <c r="J15" s="476"/>
      <c r="K15" s="476"/>
      <c r="L15" s="467"/>
      <c r="M15" s="476"/>
      <c r="N15" s="476"/>
      <c r="O15" s="476"/>
      <c r="P15" s="476"/>
      <c r="Q15" s="476"/>
      <c r="R15" s="476"/>
      <c r="S15" s="467"/>
      <c r="T15" s="476"/>
      <c r="U15" s="476"/>
      <c r="V15" s="476"/>
      <c r="W15" s="476"/>
      <c r="X15" s="477"/>
      <c r="Y15" s="468"/>
    </row>
    <row r="16" spans="2:25" ht="30" customHeight="1" x14ac:dyDescent="0.35">
      <c r="B16" s="1002" t="s">
        <v>685</v>
      </c>
      <c r="C16" s="1003"/>
      <c r="D16" s="1004"/>
      <c r="E16" s="493">
        <f>'Break-Even Scores'!$E$13</f>
        <v>0.58377706780262695</v>
      </c>
      <c r="F16" s="478"/>
      <c r="G16" s="476"/>
      <c r="H16" s="476"/>
      <c r="I16" s="465">
        <f>$E$15</f>
        <v>1</v>
      </c>
      <c r="J16" s="476"/>
      <c r="K16" s="476"/>
      <c r="L16" s="467"/>
      <c r="M16" s="476"/>
      <c r="N16" s="476"/>
      <c r="O16" s="476"/>
      <c r="P16" s="476"/>
      <c r="Q16" s="476"/>
      <c r="R16" s="476"/>
      <c r="S16" s="467"/>
      <c r="T16" s="476"/>
      <c r="U16" s="476"/>
      <c r="V16" s="476"/>
      <c r="W16" s="476"/>
      <c r="X16" s="477"/>
      <c r="Y16" s="468"/>
    </row>
    <row r="17" spans="2:25" ht="30" customHeight="1" x14ac:dyDescent="0.35">
      <c r="B17" s="993" t="s">
        <v>708</v>
      </c>
      <c r="C17" s="994"/>
      <c r="D17" s="995"/>
      <c r="E17" s="493">
        <f>'Break-Even Scores'!$E$18</f>
        <v>0.44862835249042143</v>
      </c>
      <c r="F17" s="478"/>
      <c r="G17" s="476"/>
      <c r="H17" s="476"/>
      <c r="I17" s="465">
        <f>$E$17</f>
        <v>0.44862835249042143</v>
      </c>
      <c r="J17" s="465">
        <f t="shared" ref="J17:K18" si="2">$E$17</f>
        <v>0.44862835249042143</v>
      </c>
      <c r="K17" s="465">
        <f t="shared" si="2"/>
        <v>0.44862835249042143</v>
      </c>
      <c r="L17" s="467"/>
      <c r="M17" s="476"/>
      <c r="N17" s="476"/>
      <c r="O17" s="476"/>
      <c r="P17" s="476"/>
      <c r="Q17" s="476"/>
      <c r="R17" s="476"/>
      <c r="S17" s="467"/>
      <c r="T17" s="476"/>
      <c r="U17" s="476"/>
      <c r="V17" s="476"/>
      <c r="W17" s="476"/>
      <c r="X17" s="477"/>
      <c r="Y17" s="468"/>
    </row>
    <row r="18" spans="2:25" ht="30" customHeight="1" x14ac:dyDescent="0.35">
      <c r="B18" s="993" t="s">
        <v>709</v>
      </c>
      <c r="C18" s="994"/>
      <c r="D18" s="995"/>
      <c r="E18" s="493">
        <f>'Break-Even Scores'!$E$23</f>
        <v>0.74063981020458036</v>
      </c>
      <c r="F18" s="478"/>
      <c r="G18" s="476"/>
      <c r="H18" s="476"/>
      <c r="I18" s="465">
        <f>$E$17</f>
        <v>0.44862835249042143</v>
      </c>
      <c r="J18" s="465">
        <f t="shared" si="2"/>
        <v>0.44862835249042143</v>
      </c>
      <c r="K18" s="465">
        <f t="shared" si="2"/>
        <v>0.44862835249042143</v>
      </c>
      <c r="L18" s="467"/>
      <c r="M18" s="476"/>
      <c r="N18" s="476"/>
      <c r="O18" s="476"/>
      <c r="P18" s="476"/>
      <c r="Q18" s="476"/>
      <c r="R18" s="476"/>
      <c r="S18" s="467"/>
      <c r="T18" s="476"/>
      <c r="U18" s="476"/>
      <c r="V18" s="476"/>
      <c r="W18" s="476"/>
      <c r="X18" s="477"/>
      <c r="Y18" s="468"/>
    </row>
    <row r="19" spans="2:25" ht="30" customHeight="1" x14ac:dyDescent="0.35">
      <c r="B19" s="1002" t="s">
        <v>684</v>
      </c>
      <c r="C19" s="1003"/>
      <c r="D19" s="1004"/>
      <c r="E19" s="493">
        <f>'Break-Even Scores'!$E$16</f>
        <v>0.62663805616757784</v>
      </c>
      <c r="F19" s="478"/>
      <c r="G19" s="478"/>
      <c r="H19" s="478"/>
      <c r="I19" s="465">
        <f>$E$19</f>
        <v>0.62663805616757784</v>
      </c>
      <c r="J19" s="465">
        <f>$E$19</f>
        <v>0.62663805616757784</v>
      </c>
      <c r="K19" s="465">
        <f>$E$19</f>
        <v>0.62663805616757784</v>
      </c>
      <c r="L19" s="467"/>
      <c r="M19" s="476"/>
      <c r="N19" s="476"/>
      <c r="O19" s="476"/>
      <c r="P19" s="476"/>
      <c r="Q19" s="476"/>
      <c r="R19" s="476"/>
      <c r="S19" s="467"/>
      <c r="T19" s="476"/>
      <c r="U19" s="476"/>
      <c r="V19" s="476"/>
      <c r="W19" s="476"/>
      <c r="X19" s="476"/>
      <c r="Y19" s="468"/>
    </row>
    <row r="20" spans="2:25" ht="34.950000000000003" customHeight="1" x14ac:dyDescent="0.35">
      <c r="B20" s="1002" t="s">
        <v>2</v>
      </c>
      <c r="C20" s="1003"/>
      <c r="D20" s="1004"/>
      <c r="E20" s="493">
        <f>'Break-Even Scores'!$E$19</f>
        <v>0.35353535353535354</v>
      </c>
      <c r="F20" s="478"/>
      <c r="G20" s="476"/>
      <c r="H20" s="476"/>
      <c r="I20" s="476"/>
      <c r="J20" s="465">
        <f>$E$20</f>
        <v>0.35353535353535354</v>
      </c>
      <c r="K20" s="465">
        <f>$E$20</f>
        <v>0.35353535353535354</v>
      </c>
      <c r="L20" s="467"/>
      <c r="M20" s="476"/>
      <c r="N20" s="476"/>
      <c r="O20" s="476"/>
      <c r="P20" s="476"/>
      <c r="Q20" s="476"/>
      <c r="R20" s="476"/>
      <c r="S20" s="467"/>
      <c r="T20" s="476"/>
      <c r="U20" s="476"/>
      <c r="V20" s="476"/>
      <c r="W20" s="476"/>
      <c r="X20" s="477"/>
      <c r="Y20" s="468"/>
    </row>
    <row r="21" spans="2:25" ht="10.050000000000001" customHeight="1" x14ac:dyDescent="0.35">
      <c r="B21" s="479"/>
      <c r="C21" s="480"/>
      <c r="D21" s="480"/>
      <c r="E21" s="481"/>
      <c r="F21" s="481"/>
      <c r="G21" s="481"/>
      <c r="H21" s="481"/>
      <c r="I21" s="481"/>
      <c r="J21" s="481"/>
      <c r="K21" s="481"/>
      <c r="L21" s="481"/>
      <c r="M21" s="481"/>
      <c r="N21" s="481"/>
      <c r="O21" s="481"/>
      <c r="P21" s="481"/>
      <c r="Q21" s="481"/>
      <c r="R21" s="481"/>
      <c r="S21" s="481"/>
      <c r="T21" s="481"/>
      <c r="U21" s="481"/>
      <c r="V21" s="481"/>
      <c r="W21" s="481"/>
      <c r="X21" s="482"/>
      <c r="Y21" s="468"/>
    </row>
    <row r="22" spans="2:25" ht="30" customHeight="1" x14ac:dyDescent="0.35">
      <c r="B22" s="1011" t="s">
        <v>6</v>
      </c>
      <c r="C22" s="1012"/>
      <c r="D22" s="1013"/>
      <c r="E22" s="493">
        <f>'Break-Even Scores'!$E$27</f>
        <v>0.69512195121951215</v>
      </c>
      <c r="F22" s="478"/>
      <c r="G22" s="476"/>
      <c r="H22" s="476"/>
      <c r="I22" s="476"/>
      <c r="J22" s="476"/>
      <c r="K22" s="476"/>
      <c r="L22" s="467"/>
      <c r="M22" s="465">
        <f>$E$22</f>
        <v>0.69512195121951215</v>
      </c>
      <c r="N22" s="465">
        <f>$E$22</f>
        <v>0.69512195121951215</v>
      </c>
      <c r="O22" s="465">
        <f>$E$22</f>
        <v>0.69512195121951215</v>
      </c>
      <c r="P22" s="476"/>
      <c r="Q22" s="476"/>
      <c r="R22" s="476"/>
      <c r="S22" s="467"/>
      <c r="T22" s="476"/>
      <c r="U22" s="476"/>
      <c r="V22" s="476"/>
      <c r="W22" s="476"/>
      <c r="X22" s="477"/>
      <c r="Y22" s="468"/>
    </row>
    <row r="23" spans="2:25" ht="30" customHeight="1" x14ac:dyDescent="0.35">
      <c r="B23" s="1011" t="s">
        <v>21</v>
      </c>
      <c r="C23" s="1012"/>
      <c r="D23" s="1013"/>
      <c r="E23" s="493">
        <f>'Break-Even Scores'!$E$28</f>
        <v>0.50731707317073171</v>
      </c>
      <c r="F23" s="478"/>
      <c r="G23" s="476"/>
      <c r="H23" s="476"/>
      <c r="I23" s="476"/>
      <c r="J23" s="476"/>
      <c r="K23" s="476"/>
      <c r="L23" s="467"/>
      <c r="M23" s="465">
        <f>$E$23</f>
        <v>0.50731707317073171</v>
      </c>
      <c r="N23" s="465">
        <f>$E$23</f>
        <v>0.50731707317073171</v>
      </c>
      <c r="O23" s="465">
        <f>$E$23</f>
        <v>0.50731707317073171</v>
      </c>
      <c r="P23" s="476"/>
      <c r="Q23" s="476"/>
      <c r="R23" s="476"/>
      <c r="S23" s="467"/>
      <c r="T23" s="476"/>
      <c r="U23" s="476"/>
      <c r="V23" s="476"/>
      <c r="W23" s="476"/>
      <c r="X23" s="477"/>
      <c r="Y23" s="468"/>
    </row>
    <row r="24" spans="2:25" ht="34.950000000000003" customHeight="1" x14ac:dyDescent="0.35">
      <c r="B24" s="1011" t="s">
        <v>20</v>
      </c>
      <c r="C24" s="1012"/>
      <c r="D24" s="1013"/>
      <c r="E24" s="493">
        <f>'Break-Even Scores'!$E$30</f>
        <v>0.88048780487804879</v>
      </c>
      <c r="F24" s="478"/>
      <c r="G24" s="476"/>
      <c r="H24" s="476"/>
      <c r="I24" s="476"/>
      <c r="J24" s="476"/>
      <c r="K24" s="476"/>
      <c r="L24" s="467"/>
      <c r="M24" s="465">
        <f>$E$24</f>
        <v>0.88048780487804879</v>
      </c>
      <c r="N24" s="465">
        <f>$E$24</f>
        <v>0.88048780487804879</v>
      </c>
      <c r="O24" s="465">
        <f>$E$24</f>
        <v>0.88048780487804879</v>
      </c>
      <c r="P24" s="465">
        <f>$E$24</f>
        <v>0.88048780487804879</v>
      </c>
      <c r="Q24" s="476"/>
      <c r="R24" s="476"/>
      <c r="S24" s="467"/>
      <c r="T24" s="476"/>
      <c r="U24" s="476"/>
      <c r="V24" s="476"/>
      <c r="W24" s="476"/>
      <c r="X24" s="477"/>
      <c r="Y24" s="468"/>
    </row>
    <row r="25" spans="2:25" ht="30" customHeight="1" x14ac:dyDescent="0.35">
      <c r="B25" s="1011" t="s">
        <v>18</v>
      </c>
      <c r="C25" s="1012"/>
      <c r="D25" s="1013"/>
      <c r="E25" s="493">
        <f>'Break-Even Scores'!$E$29</f>
        <v>0.12195121951219512</v>
      </c>
      <c r="F25" s="478"/>
      <c r="G25" s="476"/>
      <c r="H25" s="476"/>
      <c r="I25" s="476"/>
      <c r="J25" s="476"/>
      <c r="K25" s="476"/>
      <c r="L25" s="467"/>
      <c r="M25" s="476"/>
      <c r="N25" s="476"/>
      <c r="O25" s="476"/>
      <c r="P25" s="465">
        <f>$E$25</f>
        <v>0.12195121951219512</v>
      </c>
      <c r="Q25" s="476"/>
      <c r="R25" s="476"/>
      <c r="S25" s="467"/>
      <c r="T25" s="476"/>
      <c r="U25" s="476"/>
      <c r="V25" s="476"/>
      <c r="W25" s="476"/>
      <c r="X25" s="477"/>
      <c r="Y25" s="468"/>
    </row>
    <row r="26" spans="2:25" ht="30" customHeight="1" x14ac:dyDescent="0.35">
      <c r="B26" s="1011" t="s">
        <v>19</v>
      </c>
      <c r="C26" s="1012"/>
      <c r="D26" s="1013"/>
      <c r="E26" s="493">
        <f>'Break-Even Scores'!$E$26</f>
        <v>0.36341463414634145</v>
      </c>
      <c r="F26" s="478"/>
      <c r="G26" s="476"/>
      <c r="H26" s="476"/>
      <c r="I26" s="476"/>
      <c r="J26" s="476"/>
      <c r="K26" s="476"/>
      <c r="L26" s="467"/>
      <c r="M26" s="476"/>
      <c r="N26" s="476"/>
      <c r="O26" s="476"/>
      <c r="P26" s="476"/>
      <c r="Q26" s="465">
        <f>$E$26</f>
        <v>0.36341463414634145</v>
      </c>
      <c r="R26" s="465">
        <f>$E$26</f>
        <v>0.36341463414634145</v>
      </c>
      <c r="S26" s="467"/>
      <c r="T26" s="476"/>
      <c r="U26" s="476"/>
      <c r="V26" s="476"/>
      <c r="W26" s="476"/>
      <c r="X26" s="477"/>
      <c r="Y26" s="468"/>
    </row>
    <row r="27" spans="2:25" ht="10.050000000000001" customHeight="1" x14ac:dyDescent="0.35">
      <c r="B27" s="479"/>
      <c r="C27" s="480"/>
      <c r="D27" s="480"/>
      <c r="E27" s="481"/>
      <c r="F27" s="481"/>
      <c r="G27" s="481"/>
      <c r="H27" s="481"/>
      <c r="I27" s="481"/>
      <c r="J27" s="481"/>
      <c r="K27" s="481"/>
      <c r="L27" s="481"/>
      <c r="M27" s="481"/>
      <c r="N27" s="481"/>
      <c r="O27" s="481"/>
      <c r="P27" s="481"/>
      <c r="Q27" s="481"/>
      <c r="R27" s="481"/>
      <c r="S27" s="481"/>
      <c r="T27" s="481"/>
      <c r="U27" s="481"/>
      <c r="V27" s="481"/>
      <c r="W27" s="481"/>
      <c r="X27" s="482"/>
      <c r="Y27" s="468"/>
    </row>
    <row r="28" spans="2:25" ht="30" customHeight="1" x14ac:dyDescent="0.35">
      <c r="B28" s="1008" t="s">
        <v>675</v>
      </c>
      <c r="C28" s="1009"/>
      <c r="D28" s="1010"/>
      <c r="E28" s="493">
        <f>'Break-Even Scores'!$E$33</f>
        <v>0.75000000000000011</v>
      </c>
      <c r="F28" s="478"/>
      <c r="G28" s="476"/>
      <c r="H28" s="476"/>
      <c r="I28" s="476"/>
      <c r="J28" s="476"/>
      <c r="K28" s="476"/>
      <c r="L28" s="467"/>
      <c r="M28" s="476"/>
      <c r="N28" s="476"/>
      <c r="O28" s="476"/>
      <c r="P28" s="476"/>
      <c r="Q28" s="476"/>
      <c r="R28" s="476"/>
      <c r="S28" s="467"/>
      <c r="T28" s="465">
        <f t="shared" ref="T28:X31" si="3">$E$28</f>
        <v>0.75000000000000011</v>
      </c>
      <c r="U28" s="465">
        <f t="shared" si="3"/>
        <v>0.75000000000000011</v>
      </c>
      <c r="V28" s="465">
        <f t="shared" si="3"/>
        <v>0.75000000000000011</v>
      </c>
      <c r="W28" s="465">
        <f t="shared" si="3"/>
        <v>0.75000000000000011</v>
      </c>
      <c r="X28" s="465">
        <f t="shared" si="3"/>
        <v>0.75000000000000011</v>
      </c>
      <c r="Y28" s="468"/>
    </row>
    <row r="29" spans="2:25" ht="30" customHeight="1" x14ac:dyDescent="0.35">
      <c r="B29" s="1008" t="s">
        <v>674</v>
      </c>
      <c r="C29" s="1009"/>
      <c r="D29" s="1010"/>
      <c r="E29" s="493">
        <f>'Break-Even Scores'!$E$34</f>
        <v>0.42303699146350843</v>
      </c>
      <c r="F29" s="478"/>
      <c r="G29" s="476"/>
      <c r="H29" s="476"/>
      <c r="I29" s="476"/>
      <c r="J29" s="476"/>
      <c r="K29" s="476"/>
      <c r="L29" s="467"/>
      <c r="M29" s="476"/>
      <c r="N29" s="476"/>
      <c r="O29" s="476"/>
      <c r="P29" s="476"/>
      <c r="Q29" s="476"/>
      <c r="R29" s="476"/>
      <c r="S29" s="467"/>
      <c r="T29" s="465">
        <f t="shared" si="3"/>
        <v>0.75000000000000011</v>
      </c>
      <c r="U29" s="465">
        <f t="shared" si="3"/>
        <v>0.75000000000000011</v>
      </c>
      <c r="V29" s="465">
        <f t="shared" si="3"/>
        <v>0.75000000000000011</v>
      </c>
      <c r="W29" s="465">
        <f t="shared" si="3"/>
        <v>0.75000000000000011</v>
      </c>
      <c r="X29" s="465">
        <f t="shared" si="3"/>
        <v>0.75000000000000011</v>
      </c>
      <c r="Y29" s="468"/>
    </row>
    <row r="30" spans="2:25" ht="30" customHeight="1" x14ac:dyDescent="0.35">
      <c r="B30" s="1008" t="s">
        <v>672</v>
      </c>
      <c r="C30" s="1009"/>
      <c r="D30" s="1010"/>
      <c r="E30" s="493">
        <f>'Break-Even Scores'!$E$36</f>
        <v>0.3460739829270168</v>
      </c>
      <c r="F30" s="478"/>
      <c r="G30" s="476"/>
      <c r="H30" s="476"/>
      <c r="I30" s="476"/>
      <c r="J30" s="476"/>
      <c r="K30" s="476"/>
      <c r="L30" s="467"/>
      <c r="M30" s="476"/>
      <c r="N30" s="476"/>
      <c r="O30" s="476"/>
      <c r="P30" s="476"/>
      <c r="Q30" s="476"/>
      <c r="R30" s="476"/>
      <c r="S30" s="467"/>
      <c r="T30" s="465">
        <f t="shared" si="3"/>
        <v>0.75000000000000011</v>
      </c>
      <c r="U30" s="465">
        <f t="shared" si="3"/>
        <v>0.75000000000000011</v>
      </c>
      <c r="V30" s="465">
        <f t="shared" si="3"/>
        <v>0.75000000000000011</v>
      </c>
      <c r="W30" s="465">
        <f t="shared" si="3"/>
        <v>0.75000000000000011</v>
      </c>
      <c r="X30" s="465">
        <f t="shared" si="3"/>
        <v>0.75000000000000011</v>
      </c>
      <c r="Y30" s="468"/>
    </row>
    <row r="31" spans="2:25" ht="30" customHeight="1" x14ac:dyDescent="0.35">
      <c r="B31" s="1008" t="s">
        <v>710</v>
      </c>
      <c r="C31" s="1009"/>
      <c r="D31" s="1010"/>
      <c r="E31" s="493">
        <f>'Break-Even Scores'!$E$35</f>
        <v>0.76926093978312693</v>
      </c>
      <c r="F31" s="478"/>
      <c r="G31" s="476"/>
      <c r="H31" s="476"/>
      <c r="I31" s="476"/>
      <c r="J31" s="476"/>
      <c r="K31" s="476"/>
      <c r="L31" s="467"/>
      <c r="M31" s="476"/>
      <c r="N31" s="476"/>
      <c r="O31" s="476"/>
      <c r="P31" s="476"/>
      <c r="Q31" s="476"/>
      <c r="R31" s="476"/>
      <c r="S31" s="467"/>
      <c r="T31" s="465">
        <f t="shared" si="3"/>
        <v>0.75000000000000011</v>
      </c>
      <c r="U31" s="465">
        <f t="shared" si="3"/>
        <v>0.75000000000000011</v>
      </c>
      <c r="V31" s="465">
        <f t="shared" si="3"/>
        <v>0.75000000000000011</v>
      </c>
      <c r="W31" s="465">
        <f t="shared" si="3"/>
        <v>0.75000000000000011</v>
      </c>
      <c r="X31" s="465">
        <f t="shared" si="3"/>
        <v>0.75000000000000011</v>
      </c>
      <c r="Y31" s="468"/>
    </row>
    <row r="32" spans="2:25" ht="30" customHeight="1" x14ac:dyDescent="0.35">
      <c r="B32" s="1008" t="s">
        <v>711</v>
      </c>
      <c r="C32" s="1009"/>
      <c r="D32" s="1010"/>
      <c r="E32" s="493">
        <f>'Break-Even Scores'!E38</f>
        <v>0.6470588235294118</v>
      </c>
      <c r="F32" s="478"/>
      <c r="G32" s="476"/>
      <c r="H32" s="476"/>
      <c r="I32" s="476"/>
      <c r="J32" s="476"/>
      <c r="K32" s="476"/>
      <c r="L32" s="466"/>
      <c r="M32" s="476"/>
      <c r="N32" s="476"/>
      <c r="O32" s="476"/>
      <c r="P32" s="476"/>
      <c r="Q32" s="476"/>
      <c r="R32" s="476"/>
      <c r="S32" s="467"/>
      <c r="T32" s="465">
        <f>$E$32</f>
        <v>0.6470588235294118</v>
      </c>
      <c r="U32" s="465">
        <f>$E$32</f>
        <v>0.6470588235294118</v>
      </c>
      <c r="V32" s="465">
        <f>$E$32</f>
        <v>0.6470588235294118</v>
      </c>
      <c r="W32" s="465">
        <f>$E$32</f>
        <v>0.6470588235294118</v>
      </c>
      <c r="X32" s="465">
        <f>$E$32</f>
        <v>0.6470588235294118</v>
      </c>
      <c r="Y32" s="468"/>
    </row>
    <row r="33" spans="1:26" ht="30" customHeight="1" x14ac:dyDescent="0.35">
      <c r="B33" s="1008" t="s">
        <v>17</v>
      </c>
      <c r="C33" s="1009"/>
      <c r="D33" s="1010"/>
      <c r="E33" s="493">
        <f>'Break-Even Scores'!$E$37</f>
        <v>0.88115942028985506</v>
      </c>
      <c r="F33" s="478"/>
      <c r="G33" s="476"/>
      <c r="H33" s="476"/>
      <c r="I33" s="476"/>
      <c r="J33" s="476"/>
      <c r="K33" s="476"/>
      <c r="L33" s="467"/>
      <c r="M33" s="476"/>
      <c r="N33" s="476"/>
      <c r="O33" s="476"/>
      <c r="P33" s="476"/>
      <c r="Q33" s="476"/>
      <c r="R33" s="476"/>
      <c r="S33" s="467"/>
      <c r="T33" s="465">
        <f t="shared" ref="T33:X33" si="4">$E$33</f>
        <v>0.88115942028985506</v>
      </c>
      <c r="U33" s="465">
        <f t="shared" si="4"/>
        <v>0.88115942028985506</v>
      </c>
      <c r="V33" s="465">
        <f t="shared" si="4"/>
        <v>0.88115942028985506</v>
      </c>
      <c r="W33" s="465">
        <f t="shared" si="4"/>
        <v>0.88115942028985506</v>
      </c>
      <c r="X33" s="465">
        <f t="shared" si="4"/>
        <v>0.88115942028985506</v>
      </c>
      <c r="Y33" s="468"/>
    </row>
    <row r="34" spans="1:26" ht="34.950000000000003" customHeight="1" x14ac:dyDescent="0.35">
      <c r="B34" s="1008" t="s">
        <v>16</v>
      </c>
      <c r="C34" s="1009"/>
      <c r="D34" s="1010"/>
      <c r="E34" s="493">
        <f>'Break-Even Scores'!$E$39</f>
        <v>0.5</v>
      </c>
      <c r="F34" s="478"/>
      <c r="G34" s="476"/>
      <c r="H34" s="476"/>
      <c r="I34" s="476"/>
      <c r="J34" s="476"/>
      <c r="K34" s="476"/>
      <c r="L34" s="467"/>
      <c r="M34" s="476"/>
      <c r="N34" s="476"/>
      <c r="O34" s="476"/>
      <c r="P34" s="476"/>
      <c r="Q34" s="476"/>
      <c r="R34" s="476"/>
      <c r="S34" s="467"/>
      <c r="T34" s="465">
        <f t="shared" ref="T34" si="5">$E$34</f>
        <v>0.5</v>
      </c>
      <c r="U34" s="465">
        <f t="shared" ref="U34:X34" si="6">$E$34</f>
        <v>0.5</v>
      </c>
      <c r="V34" s="465">
        <f t="shared" si="6"/>
        <v>0.5</v>
      </c>
      <c r="W34" s="465">
        <f t="shared" si="6"/>
        <v>0.5</v>
      </c>
      <c r="X34" s="465">
        <f t="shared" si="6"/>
        <v>0.5</v>
      </c>
      <c r="Y34" s="468"/>
    </row>
    <row r="35" spans="1:26" ht="34.950000000000003" customHeight="1" x14ac:dyDescent="0.35">
      <c r="B35" s="1005" t="s">
        <v>669</v>
      </c>
      <c r="C35" s="1006"/>
      <c r="D35" s="1007"/>
      <c r="E35" s="494">
        <f>'Break-Even Scores'!$E$40</f>
        <v>0.59272411616161624</v>
      </c>
      <c r="F35" s="478"/>
      <c r="G35" s="476"/>
      <c r="H35" s="476"/>
      <c r="I35" s="476"/>
      <c r="J35" s="476"/>
      <c r="K35" s="476"/>
      <c r="L35" s="466"/>
      <c r="M35" s="476"/>
      <c r="N35" s="476"/>
      <c r="O35" s="476"/>
      <c r="P35" s="476"/>
      <c r="Q35" s="476"/>
      <c r="R35" s="476"/>
      <c r="S35" s="467"/>
      <c r="T35" s="465">
        <f t="shared" ref="T35:X35" si="7">$E$35</f>
        <v>0.59272411616161624</v>
      </c>
      <c r="U35" s="465">
        <f t="shared" si="7"/>
        <v>0.59272411616161624</v>
      </c>
      <c r="V35" s="465">
        <f t="shared" si="7"/>
        <v>0.59272411616161624</v>
      </c>
      <c r="W35" s="465">
        <f t="shared" si="7"/>
        <v>0.59272411616161624</v>
      </c>
      <c r="X35" s="465">
        <f t="shared" si="7"/>
        <v>0.59272411616161624</v>
      </c>
      <c r="Y35" s="468"/>
    </row>
    <row r="36" spans="1:26" ht="10.050000000000001" customHeight="1" x14ac:dyDescent="0.35">
      <c r="B36" s="479"/>
      <c r="C36" s="480"/>
      <c r="D36" s="480"/>
      <c r="E36" s="481"/>
      <c r="F36" s="481"/>
      <c r="G36" s="481"/>
      <c r="H36" s="481"/>
      <c r="I36" s="481"/>
      <c r="J36" s="481"/>
      <c r="K36" s="481"/>
      <c r="L36" s="481"/>
      <c r="M36" s="481"/>
      <c r="N36" s="481"/>
      <c r="O36" s="481"/>
      <c r="P36" s="481"/>
      <c r="Q36" s="481"/>
      <c r="R36" s="481"/>
      <c r="S36" s="481"/>
      <c r="T36" s="481"/>
      <c r="U36" s="481"/>
      <c r="V36" s="481"/>
      <c r="W36" s="481"/>
      <c r="X36" s="482"/>
      <c r="Y36" s="468"/>
    </row>
    <row r="37" spans="1:26" ht="51" customHeight="1" x14ac:dyDescent="0.35">
      <c r="B37" s="1014" t="s">
        <v>29</v>
      </c>
      <c r="C37" s="1015"/>
      <c r="D37" s="1015"/>
      <c r="E37" s="1015"/>
      <c r="F37" s="483">
        <f>SUM(F9:F35)/4</f>
        <v>0.31480352799166011</v>
      </c>
      <c r="G37" s="483">
        <f>SUM(G9:G35)/4</f>
        <v>0.31480352799166011</v>
      </c>
      <c r="H37" s="483">
        <f>SUM(H9:H35)/2</f>
        <v>0.66584507042253516</v>
      </c>
      <c r="I37" s="483">
        <f>SUM(I9:I35)/6</f>
        <v>0.67898246019140351</v>
      </c>
      <c r="J37" s="484">
        <f>SUM(J9:J35)/5</f>
        <v>0.48548602293675486</v>
      </c>
      <c r="K37" s="483">
        <f>SUM(K9:K35)/5</f>
        <v>0.48548602293675486</v>
      </c>
      <c r="L37" s="467"/>
      <c r="M37" s="483">
        <f>SUM(M9:M35)/4</f>
        <v>0.65823170731707314</v>
      </c>
      <c r="N37" s="483">
        <f>SUM(N9:N35)/4</f>
        <v>0.65823170731707314</v>
      </c>
      <c r="O37" s="483">
        <f>SUM(O9:O35)/4</f>
        <v>0.65823170731707314</v>
      </c>
      <c r="P37" s="483">
        <f>SUM(P9:P35)/3</f>
        <v>0.51747967479674806</v>
      </c>
      <c r="Q37" s="483">
        <f>SUM(Q9:Q35)/2</f>
        <v>0.45670731707317075</v>
      </c>
      <c r="R37" s="483">
        <f>SUM(R9:R35)/2</f>
        <v>0.45670731707317075</v>
      </c>
      <c r="S37" s="467"/>
      <c r="T37" s="483">
        <f>SUM(T9:T35)/9</f>
        <v>0.68566026222009802</v>
      </c>
      <c r="U37" s="483">
        <f>SUM(U9:U35)/9</f>
        <v>0.68566026222009802</v>
      </c>
      <c r="V37" s="483">
        <f>SUM(V9:V35)/9</f>
        <v>0.68566026222009802</v>
      </c>
      <c r="W37" s="483">
        <f>SUM(W9:W35)/9</f>
        <v>0.68566026222009802</v>
      </c>
      <c r="X37" s="485">
        <f>SUM(X9:X35)/9</f>
        <v>0.68566026222009802</v>
      </c>
      <c r="Y37" s="486">
        <f>SUM(F37:X37)/17</f>
        <v>0.57525278673326885</v>
      </c>
      <c r="Z37" s="388"/>
    </row>
    <row r="38" spans="1:26" ht="61.2" customHeight="1" x14ac:dyDescent="0.35">
      <c r="B38" s="468"/>
      <c r="C38" s="468"/>
      <c r="D38" s="468"/>
      <c r="E38" s="468"/>
      <c r="F38" s="487"/>
      <c r="G38" s="487"/>
      <c r="H38" s="487"/>
      <c r="I38" s="487"/>
      <c r="J38" s="487"/>
      <c r="K38" s="487"/>
      <c r="L38" s="467"/>
      <c r="M38" s="487"/>
      <c r="N38" s="487"/>
      <c r="O38" s="487"/>
      <c r="P38" s="487"/>
      <c r="Q38" s="487"/>
      <c r="R38" s="487"/>
      <c r="S38" s="467"/>
      <c r="T38" s="487"/>
      <c r="U38" s="487"/>
      <c r="V38" s="487"/>
      <c r="W38" s="487"/>
      <c r="X38" s="487"/>
      <c r="Y38" s="41" t="s">
        <v>51</v>
      </c>
    </row>
    <row r="39" spans="1:26" ht="10.050000000000001" customHeight="1" x14ac:dyDescent="0.35">
      <c r="B39" s="468"/>
      <c r="C39" s="468"/>
      <c r="D39" s="468"/>
      <c r="E39" s="468"/>
      <c r="F39" s="468"/>
      <c r="G39" s="468"/>
      <c r="H39" s="468"/>
      <c r="I39" s="468"/>
      <c r="J39" s="468"/>
      <c r="K39" s="468"/>
      <c r="L39" s="426"/>
      <c r="M39" s="468"/>
      <c r="N39" s="468"/>
      <c r="O39" s="468"/>
      <c r="P39" s="468"/>
      <c r="Q39" s="468"/>
      <c r="R39" s="468"/>
      <c r="S39" s="426"/>
      <c r="T39" s="468"/>
      <c r="U39" s="468"/>
      <c r="V39" s="468"/>
      <c r="W39" s="468"/>
      <c r="X39" s="468"/>
      <c r="Y39" s="488"/>
    </row>
    <row r="40" spans="1:26" s="7" customFormat="1" ht="52.8" customHeight="1" x14ac:dyDescent="0.35">
      <c r="B40" s="1025" t="s">
        <v>808</v>
      </c>
      <c r="C40" s="1026"/>
      <c r="D40" s="1026"/>
      <c r="E40" s="1026"/>
      <c r="F40" s="1026"/>
      <c r="G40" s="1026"/>
      <c r="H40" s="1026"/>
      <c r="I40" s="1026"/>
      <c r="J40" s="1026"/>
      <c r="K40" s="1026"/>
      <c r="L40" s="1026"/>
      <c r="M40" s="1026"/>
      <c r="N40" s="1026"/>
      <c r="O40" s="1026"/>
      <c r="P40" s="1026"/>
      <c r="Q40" s="1026"/>
      <c r="R40" s="1026"/>
      <c r="S40" s="1026"/>
      <c r="T40" s="1026"/>
      <c r="U40" s="1026"/>
      <c r="V40" s="1027"/>
      <c r="W40" s="1028" t="s">
        <v>789</v>
      </c>
      <c r="X40" s="1029"/>
      <c r="Y40" s="1029"/>
    </row>
    <row r="41" spans="1:26" ht="25.05" customHeight="1" x14ac:dyDescent="0.35">
      <c r="E41" s="1"/>
    </row>
    <row r="42" spans="1:26" s="4" customFormat="1" ht="28.5" customHeight="1" x14ac:dyDescent="0.35">
      <c r="A42" s="9"/>
      <c r="B42" s="1016" t="s">
        <v>763</v>
      </c>
      <c r="C42" s="1016"/>
      <c r="D42" s="1017"/>
      <c r="E42" s="1020" t="s">
        <v>769</v>
      </c>
      <c r="F42" s="548"/>
      <c r="G42" s="548"/>
      <c r="H42" s="548"/>
      <c r="I42" s="548"/>
      <c r="J42" s="548"/>
      <c r="K42" s="548"/>
      <c r="L42" s="548"/>
      <c r="M42" s="548"/>
      <c r="N42" s="548"/>
      <c r="O42" s="548"/>
      <c r="P42" s="548"/>
      <c r="Q42" s="548"/>
      <c r="R42" s="548"/>
      <c r="S42" s="548"/>
      <c r="T42" s="548"/>
      <c r="U42" s="548"/>
      <c r="V42" s="548"/>
      <c r="W42" s="548"/>
      <c r="X42" s="704"/>
    </row>
    <row r="43" spans="1:26" ht="34.5" customHeight="1" x14ac:dyDescent="0.35">
      <c r="B43" s="414" t="s">
        <v>766</v>
      </c>
      <c r="C43" s="1018" t="s">
        <v>764</v>
      </c>
      <c r="D43" s="1018"/>
      <c r="E43" s="1021"/>
      <c r="F43" s="648"/>
      <c r="G43" s="648"/>
      <c r="H43" s="648"/>
      <c r="I43" s="648"/>
      <c r="J43" s="648"/>
      <c r="K43" s="648"/>
      <c r="L43" s="648"/>
      <c r="M43" s="648"/>
      <c r="N43" s="648"/>
      <c r="O43" s="648"/>
      <c r="P43" s="648"/>
      <c r="Q43" s="648"/>
      <c r="R43" s="648"/>
      <c r="S43" s="648"/>
      <c r="T43" s="648"/>
      <c r="U43" s="648"/>
      <c r="V43" s="648"/>
      <c r="W43" s="648"/>
      <c r="X43" s="649"/>
    </row>
    <row r="44" spans="1:26" ht="45" customHeight="1" x14ac:dyDescent="0.35">
      <c r="B44" s="413" t="s">
        <v>767</v>
      </c>
      <c r="C44" s="1019" t="s">
        <v>765</v>
      </c>
      <c r="D44" s="1019"/>
      <c r="E44" s="1022" t="s">
        <v>768</v>
      </c>
      <c r="F44" s="1023"/>
      <c r="G44" s="1023"/>
      <c r="H44" s="1023"/>
      <c r="I44" s="1023"/>
      <c r="J44" s="1023"/>
      <c r="K44" s="1023"/>
      <c r="L44" s="1023"/>
      <c r="M44" s="1023"/>
      <c r="N44" s="1023"/>
      <c r="O44" s="1023"/>
      <c r="P44" s="1023"/>
      <c r="Q44" s="1023"/>
      <c r="R44" s="1023"/>
      <c r="S44" s="1023"/>
      <c r="T44" s="1023"/>
      <c r="U44" s="1023"/>
      <c r="V44" s="1023"/>
      <c r="W44" s="1023"/>
      <c r="X44" s="1024"/>
    </row>
    <row r="45" spans="1:26" ht="45" customHeight="1" x14ac:dyDescent="0.35">
      <c r="B45" s="412"/>
      <c r="C45" s="973"/>
      <c r="D45" s="973"/>
      <c r="E45" s="970"/>
      <c r="F45" s="971"/>
      <c r="G45" s="971"/>
      <c r="H45" s="971"/>
      <c r="I45" s="971"/>
      <c r="J45" s="971"/>
      <c r="K45" s="971"/>
      <c r="L45" s="971"/>
      <c r="M45" s="971"/>
      <c r="N45" s="971"/>
      <c r="O45" s="971"/>
      <c r="P45" s="971"/>
      <c r="Q45" s="971"/>
      <c r="R45" s="971"/>
      <c r="S45" s="971"/>
      <c r="T45" s="971"/>
      <c r="U45" s="971"/>
      <c r="V45" s="971"/>
      <c r="W45" s="971"/>
      <c r="X45" s="972"/>
    </row>
    <row r="46" spans="1:26" ht="45" customHeight="1" x14ac:dyDescent="0.35">
      <c r="B46" s="412"/>
      <c r="C46" s="973"/>
      <c r="D46" s="973"/>
      <c r="E46" s="970"/>
      <c r="F46" s="971"/>
      <c r="G46" s="971"/>
      <c r="H46" s="971"/>
      <c r="I46" s="971"/>
      <c r="J46" s="971"/>
      <c r="K46" s="971"/>
      <c r="L46" s="971"/>
      <c r="M46" s="971"/>
      <c r="N46" s="971"/>
      <c r="O46" s="971"/>
      <c r="P46" s="971"/>
      <c r="Q46" s="971"/>
      <c r="R46" s="971"/>
      <c r="S46" s="971"/>
      <c r="T46" s="971"/>
      <c r="U46" s="971"/>
      <c r="V46" s="971"/>
      <c r="W46" s="971"/>
      <c r="X46" s="972"/>
    </row>
    <row r="47" spans="1:26" ht="45" customHeight="1" x14ac:dyDescent="0.35">
      <c r="B47" s="415"/>
      <c r="C47" s="966"/>
      <c r="D47" s="966"/>
      <c r="E47" s="967"/>
      <c r="F47" s="968"/>
      <c r="G47" s="968"/>
      <c r="H47" s="968"/>
      <c r="I47" s="968"/>
      <c r="J47" s="968"/>
      <c r="K47" s="968"/>
      <c r="L47" s="968"/>
      <c r="M47" s="968"/>
      <c r="N47" s="968"/>
      <c r="O47" s="968"/>
      <c r="P47" s="968"/>
      <c r="Q47" s="968"/>
      <c r="R47" s="968"/>
      <c r="S47" s="968"/>
      <c r="T47" s="968"/>
      <c r="U47" s="968"/>
      <c r="V47" s="968"/>
      <c r="W47" s="968"/>
      <c r="X47" s="969"/>
    </row>
    <row r="48" spans="1:26" ht="34.5" customHeight="1" x14ac:dyDescent="0.35">
      <c r="E48" s="1"/>
    </row>
    <row r="49" spans="2:24" ht="25.05" customHeight="1" x14ac:dyDescent="0.35">
      <c r="B49" s="974" t="s">
        <v>33</v>
      </c>
      <c r="C49" s="975"/>
      <c r="D49" s="975"/>
      <c r="E49" s="975"/>
      <c r="F49" s="976" t="s">
        <v>34</v>
      </c>
      <c r="G49" s="977"/>
      <c r="H49" s="977"/>
      <c r="I49" s="977"/>
      <c r="J49" s="977"/>
      <c r="K49" s="977"/>
      <c r="L49" s="977"/>
      <c r="M49" s="977"/>
      <c r="N49" s="977"/>
      <c r="O49" s="977"/>
      <c r="P49" s="977"/>
      <c r="Q49" s="977"/>
      <c r="R49" s="977"/>
      <c r="S49" s="977"/>
      <c r="T49" s="977"/>
      <c r="U49" s="977"/>
      <c r="V49" s="977"/>
      <c r="W49" s="977"/>
      <c r="X49" s="978"/>
    </row>
    <row r="50" spans="2:24" ht="45" customHeight="1" x14ac:dyDescent="0.35">
      <c r="B50" s="979" t="s">
        <v>47</v>
      </c>
      <c r="C50" s="980"/>
      <c r="D50" s="980"/>
      <c r="E50" s="980"/>
      <c r="F50" s="981" t="s">
        <v>773</v>
      </c>
      <c r="G50" s="981"/>
      <c r="H50" s="981"/>
      <c r="I50" s="981"/>
      <c r="J50" s="981"/>
      <c r="K50" s="981"/>
      <c r="L50" s="981"/>
      <c r="M50" s="981"/>
      <c r="N50" s="981"/>
      <c r="O50" s="981"/>
      <c r="P50" s="981"/>
      <c r="Q50" s="981"/>
      <c r="R50" s="981"/>
      <c r="S50" s="981"/>
      <c r="T50" s="981"/>
      <c r="U50" s="981"/>
      <c r="V50" s="981"/>
      <c r="W50" s="981"/>
      <c r="X50" s="982"/>
    </row>
    <row r="51" spans="2:24" ht="25.05" customHeight="1" x14ac:dyDescent="0.35">
      <c r="B51" s="962" t="s">
        <v>35</v>
      </c>
      <c r="C51" s="963"/>
      <c r="D51" s="963"/>
      <c r="E51" s="963"/>
      <c r="F51" s="963" t="s">
        <v>805</v>
      </c>
      <c r="G51" s="963"/>
      <c r="H51" s="963"/>
      <c r="I51" s="963"/>
      <c r="J51" s="963"/>
      <c r="K51" s="963"/>
      <c r="L51" s="963"/>
      <c r="M51" s="963"/>
      <c r="N51" s="963"/>
      <c r="O51" s="963"/>
      <c r="P51" s="963"/>
      <c r="Q51" s="963"/>
      <c r="R51" s="963"/>
      <c r="S51" s="963"/>
      <c r="T51" s="963"/>
      <c r="U51" s="963"/>
      <c r="V51" s="963"/>
      <c r="W51" s="963"/>
      <c r="X51" s="965"/>
    </row>
    <row r="52" spans="2:24" ht="25.05" customHeight="1" x14ac:dyDescent="0.35">
      <c r="B52" s="962" t="s">
        <v>36</v>
      </c>
      <c r="C52" s="963"/>
      <c r="D52" s="963"/>
      <c r="E52" s="963"/>
      <c r="F52" s="963" t="s">
        <v>48</v>
      </c>
      <c r="G52" s="963"/>
      <c r="H52" s="963"/>
      <c r="I52" s="963"/>
      <c r="J52" s="963"/>
      <c r="K52" s="963"/>
      <c r="L52" s="963"/>
      <c r="M52" s="963"/>
      <c r="N52" s="963"/>
      <c r="O52" s="963"/>
      <c r="P52" s="963"/>
      <c r="Q52" s="963"/>
      <c r="R52" s="963"/>
      <c r="S52" s="963"/>
      <c r="T52" s="963"/>
      <c r="U52" s="963"/>
      <c r="V52" s="963"/>
      <c r="W52" s="963"/>
      <c r="X52" s="965"/>
    </row>
    <row r="53" spans="2:24" ht="25.05" customHeight="1" x14ac:dyDescent="0.35">
      <c r="B53" s="962" t="s">
        <v>37</v>
      </c>
      <c r="C53" s="963"/>
      <c r="D53" s="963"/>
      <c r="E53" s="963"/>
      <c r="F53" s="963" t="s">
        <v>45</v>
      </c>
      <c r="G53" s="963"/>
      <c r="H53" s="963"/>
      <c r="I53" s="963"/>
      <c r="J53" s="963"/>
      <c r="K53" s="963"/>
      <c r="L53" s="963"/>
      <c r="M53" s="963"/>
      <c r="N53" s="963"/>
      <c r="O53" s="963"/>
      <c r="P53" s="963"/>
      <c r="Q53" s="963"/>
      <c r="R53" s="963"/>
      <c r="S53" s="963"/>
      <c r="T53" s="963"/>
      <c r="U53" s="963"/>
      <c r="V53" s="963"/>
      <c r="W53" s="963"/>
      <c r="X53" s="965"/>
    </row>
    <row r="54" spans="2:24" ht="25.05" customHeight="1" x14ac:dyDescent="0.35">
      <c r="B54" s="962" t="s">
        <v>38</v>
      </c>
      <c r="C54" s="963"/>
      <c r="D54" s="963"/>
      <c r="E54" s="963"/>
      <c r="F54" s="963" t="s">
        <v>776</v>
      </c>
      <c r="G54" s="963"/>
      <c r="H54" s="963"/>
      <c r="I54" s="963"/>
      <c r="J54" s="963"/>
      <c r="K54" s="963"/>
      <c r="L54" s="963"/>
      <c r="M54" s="963"/>
      <c r="N54" s="963"/>
      <c r="O54" s="963"/>
      <c r="P54" s="963"/>
      <c r="Q54" s="963"/>
      <c r="R54" s="963"/>
      <c r="S54" s="963"/>
      <c r="T54" s="963"/>
      <c r="U54" s="963"/>
      <c r="V54" s="963"/>
      <c r="W54" s="963"/>
      <c r="X54" s="965"/>
    </row>
    <row r="55" spans="2:24" ht="25.05" customHeight="1" x14ac:dyDescent="0.35">
      <c r="B55" s="964" t="s">
        <v>39</v>
      </c>
      <c r="C55" s="960"/>
      <c r="D55" s="960"/>
      <c r="E55" s="960"/>
      <c r="F55" s="960" t="s">
        <v>777</v>
      </c>
      <c r="G55" s="960"/>
      <c r="H55" s="960"/>
      <c r="I55" s="960"/>
      <c r="J55" s="960"/>
      <c r="K55" s="960"/>
      <c r="L55" s="960"/>
      <c r="M55" s="960"/>
      <c r="N55" s="960"/>
      <c r="O55" s="960"/>
      <c r="P55" s="960"/>
      <c r="Q55" s="960"/>
      <c r="R55" s="960"/>
      <c r="S55" s="960"/>
      <c r="T55" s="960"/>
      <c r="U55" s="960"/>
      <c r="V55" s="960"/>
      <c r="W55" s="960"/>
      <c r="X55" s="961"/>
    </row>
    <row r="56" spans="2:24" x14ac:dyDescent="0.35">
      <c r="E56" s="1"/>
    </row>
    <row r="57" spans="2:24" s="4" customFormat="1" ht="19.95" customHeight="1" x14ac:dyDescent="0.35">
      <c r="B57" s="946" t="s">
        <v>0</v>
      </c>
      <c r="C57" s="540"/>
      <c r="D57" s="540"/>
      <c r="E57" s="540"/>
      <c r="F57" s="540"/>
      <c r="G57" s="540"/>
      <c r="H57" s="7"/>
      <c r="I57" s="7"/>
      <c r="J57" s="7"/>
      <c r="K57" s="7"/>
      <c r="L57" s="7"/>
      <c r="M57" s="7"/>
    </row>
    <row r="58" spans="2:24" s="2" customFormat="1" ht="19.95" customHeight="1" x14ac:dyDescent="0.35">
      <c r="B58" s="530" t="s">
        <v>23</v>
      </c>
      <c r="C58" s="531"/>
      <c r="D58" s="531"/>
      <c r="E58" s="531"/>
      <c r="F58" s="531"/>
      <c r="G58" s="531"/>
      <c r="H58" s="531"/>
      <c r="I58" s="531"/>
      <c r="J58" s="531"/>
      <c r="K58" s="531"/>
      <c r="L58" s="531"/>
      <c r="M58" s="532"/>
    </row>
    <row r="59" spans="2:24" s="2" customFormat="1" ht="19.95" customHeight="1" x14ac:dyDescent="0.35">
      <c r="B59" s="533" t="s">
        <v>32</v>
      </c>
      <c r="C59" s="534"/>
      <c r="D59" s="534"/>
      <c r="E59" s="534"/>
      <c r="F59" s="534"/>
      <c r="G59" s="534"/>
      <c r="H59" s="534"/>
      <c r="I59" s="534"/>
      <c r="J59" s="534"/>
      <c r="K59" s="534"/>
      <c r="L59" s="534"/>
      <c r="M59" s="535"/>
    </row>
    <row r="60" spans="2:24" s="2" customFormat="1" ht="19.95" customHeight="1" x14ac:dyDescent="0.35">
      <c r="B60" s="536" t="s">
        <v>41</v>
      </c>
      <c r="C60" s="537"/>
      <c r="D60" s="537"/>
      <c r="E60" s="537"/>
      <c r="F60" s="537"/>
      <c r="G60" s="537"/>
      <c r="H60" s="537"/>
      <c r="I60" s="537"/>
      <c r="J60" s="537"/>
      <c r="K60" s="537"/>
      <c r="L60" s="537"/>
      <c r="M60" s="538"/>
    </row>
    <row r="61" spans="2:24" x14ac:dyDescent="0.35">
      <c r="E61" s="1"/>
    </row>
    <row r="62" spans="2:24" x14ac:dyDescent="0.35">
      <c r="E62" s="1"/>
    </row>
    <row r="63" spans="2:24" x14ac:dyDescent="0.35">
      <c r="E63" s="1"/>
    </row>
    <row r="64" spans="2:24" x14ac:dyDescent="0.35">
      <c r="E64" s="1"/>
    </row>
    <row r="65" spans="5:5" x14ac:dyDescent="0.35">
      <c r="E65" s="1"/>
    </row>
    <row r="66" spans="5:5" x14ac:dyDescent="0.35">
      <c r="E66" s="1"/>
    </row>
    <row r="67" spans="5:5" x14ac:dyDescent="0.35">
      <c r="E67" s="1"/>
    </row>
    <row r="68" spans="5:5" x14ac:dyDescent="0.35">
      <c r="E68" s="1"/>
    </row>
    <row r="69" spans="5:5" x14ac:dyDescent="0.35">
      <c r="E69" s="1"/>
    </row>
    <row r="70" spans="5:5" x14ac:dyDescent="0.35">
      <c r="E70" s="1"/>
    </row>
    <row r="71" spans="5:5" x14ac:dyDescent="0.35">
      <c r="E71" s="1"/>
    </row>
    <row r="72" spans="5:5" x14ac:dyDescent="0.35">
      <c r="E72" s="1"/>
    </row>
    <row r="73" spans="5:5" x14ac:dyDescent="0.35">
      <c r="E73" s="1"/>
    </row>
    <row r="74" spans="5:5" x14ac:dyDescent="0.35">
      <c r="E74" s="1"/>
    </row>
    <row r="75" spans="5:5" x14ac:dyDescent="0.35">
      <c r="E75" s="1"/>
    </row>
    <row r="76" spans="5:5" x14ac:dyDescent="0.35">
      <c r="E76" s="1"/>
    </row>
    <row r="77" spans="5:5" x14ac:dyDescent="0.35">
      <c r="E77" s="1"/>
    </row>
    <row r="78" spans="5:5" x14ac:dyDescent="0.35">
      <c r="E78" s="1"/>
    </row>
    <row r="79" spans="5:5" x14ac:dyDescent="0.35">
      <c r="E79" s="1"/>
    </row>
    <row r="80" spans="5:5" x14ac:dyDescent="0.35">
      <c r="E80" s="1"/>
    </row>
    <row r="81" spans="5:5" x14ac:dyDescent="0.35">
      <c r="E81" s="1"/>
    </row>
    <row r="82" spans="5:5" x14ac:dyDescent="0.35">
      <c r="E82" s="1"/>
    </row>
    <row r="83" spans="5:5" x14ac:dyDescent="0.35">
      <c r="E83" s="1"/>
    </row>
    <row r="84" spans="5:5" x14ac:dyDescent="0.35">
      <c r="E84" s="1"/>
    </row>
    <row r="85" spans="5:5" x14ac:dyDescent="0.35">
      <c r="E85" s="1"/>
    </row>
    <row r="86" spans="5:5" x14ac:dyDescent="0.35">
      <c r="E86" s="1"/>
    </row>
    <row r="87" spans="5:5" x14ac:dyDescent="0.35">
      <c r="E87" s="1"/>
    </row>
    <row r="88" spans="5:5" x14ac:dyDescent="0.35">
      <c r="E88" s="1"/>
    </row>
    <row r="89" spans="5:5" x14ac:dyDescent="0.35">
      <c r="E89" s="1"/>
    </row>
    <row r="90" spans="5:5" x14ac:dyDescent="0.35">
      <c r="E90" s="1"/>
    </row>
    <row r="91" spans="5:5" x14ac:dyDescent="0.35">
      <c r="E91" s="1"/>
    </row>
    <row r="92" spans="5:5" x14ac:dyDescent="0.35">
      <c r="E92" s="1"/>
    </row>
    <row r="93" spans="5:5" x14ac:dyDescent="0.35">
      <c r="E93" s="1"/>
    </row>
    <row r="94" spans="5:5" x14ac:dyDescent="0.35">
      <c r="E94" s="1"/>
    </row>
    <row r="95" spans="5:5" x14ac:dyDescent="0.35">
      <c r="E95" s="1"/>
    </row>
    <row r="96" spans="5:5" x14ac:dyDescent="0.35">
      <c r="E96" s="1"/>
    </row>
    <row r="97" spans="5:5" x14ac:dyDescent="0.35">
      <c r="E97" s="1"/>
    </row>
    <row r="98" spans="5:5" x14ac:dyDescent="0.35">
      <c r="E98" s="1"/>
    </row>
    <row r="99" spans="5:5" x14ac:dyDescent="0.35">
      <c r="E99" s="1"/>
    </row>
    <row r="100" spans="5:5" x14ac:dyDescent="0.35">
      <c r="E100" s="1"/>
    </row>
    <row r="101" spans="5:5" x14ac:dyDescent="0.35">
      <c r="E101" s="1"/>
    </row>
    <row r="102" spans="5:5" x14ac:dyDescent="0.35">
      <c r="E102" s="1"/>
    </row>
    <row r="103" spans="5:5" x14ac:dyDescent="0.35">
      <c r="E103" s="1"/>
    </row>
    <row r="104" spans="5:5" x14ac:dyDescent="0.35">
      <c r="E104" s="1"/>
    </row>
    <row r="105" spans="5:5" x14ac:dyDescent="0.35">
      <c r="E105" s="1"/>
    </row>
    <row r="106" spans="5:5" x14ac:dyDescent="0.35">
      <c r="E106" s="1"/>
    </row>
    <row r="107" spans="5:5" x14ac:dyDescent="0.35">
      <c r="E107" s="1"/>
    </row>
    <row r="108" spans="5:5" x14ac:dyDescent="0.35">
      <c r="E108" s="1"/>
    </row>
    <row r="109" spans="5:5" x14ac:dyDescent="0.35">
      <c r="E109" s="1"/>
    </row>
    <row r="110" spans="5:5" x14ac:dyDescent="0.35">
      <c r="E110" s="1"/>
    </row>
    <row r="111" spans="5:5" x14ac:dyDescent="0.35">
      <c r="E111" s="1"/>
    </row>
    <row r="112" spans="5:5" x14ac:dyDescent="0.35">
      <c r="E112" s="1"/>
    </row>
    <row r="113" spans="5:5" x14ac:dyDescent="0.35">
      <c r="E113" s="1"/>
    </row>
  </sheetData>
  <mergeCells count="63">
    <mergeCell ref="B37:E37"/>
    <mergeCell ref="B42:D42"/>
    <mergeCell ref="C43:D43"/>
    <mergeCell ref="C44:D44"/>
    <mergeCell ref="E42:X43"/>
    <mergeCell ref="E44:X44"/>
    <mergeCell ref="B40:V40"/>
    <mergeCell ref="W40:Y40"/>
    <mergeCell ref="B18:D18"/>
    <mergeCell ref="B17:D17"/>
    <mergeCell ref="B20:D20"/>
    <mergeCell ref="B23:D23"/>
    <mergeCell ref="B22:D22"/>
    <mergeCell ref="B35:D35"/>
    <mergeCell ref="B32:D32"/>
    <mergeCell ref="B33:D33"/>
    <mergeCell ref="B34:D34"/>
    <mergeCell ref="B19:D19"/>
    <mergeCell ref="B31:D31"/>
    <mergeCell ref="B29:D29"/>
    <mergeCell ref="B30:D30"/>
    <mergeCell ref="B24:D24"/>
    <mergeCell ref="B25:D25"/>
    <mergeCell ref="B26:D26"/>
    <mergeCell ref="B28:D28"/>
    <mergeCell ref="B12:D12"/>
    <mergeCell ref="B13:D13"/>
    <mergeCell ref="B16:D16"/>
    <mergeCell ref="B14:D14"/>
    <mergeCell ref="B15:D15"/>
    <mergeCell ref="B2:X2"/>
    <mergeCell ref="B3:X3"/>
    <mergeCell ref="E5:E7"/>
    <mergeCell ref="F5:K5"/>
    <mergeCell ref="B11:D11"/>
    <mergeCell ref="B5:D7"/>
    <mergeCell ref="M5:R5"/>
    <mergeCell ref="T5:X5"/>
    <mergeCell ref="B9:D9"/>
    <mergeCell ref="C47:D47"/>
    <mergeCell ref="E47:X47"/>
    <mergeCell ref="E45:X45"/>
    <mergeCell ref="C46:D46"/>
    <mergeCell ref="F53:X53"/>
    <mergeCell ref="B51:E51"/>
    <mergeCell ref="B52:E52"/>
    <mergeCell ref="B53:E53"/>
    <mergeCell ref="F52:X52"/>
    <mergeCell ref="B49:E49"/>
    <mergeCell ref="F49:X49"/>
    <mergeCell ref="F51:X51"/>
    <mergeCell ref="B50:E50"/>
    <mergeCell ref="F50:X50"/>
    <mergeCell ref="E46:X46"/>
    <mergeCell ref="C45:D45"/>
    <mergeCell ref="B60:M60"/>
    <mergeCell ref="F55:X55"/>
    <mergeCell ref="B54:E54"/>
    <mergeCell ref="B55:E55"/>
    <mergeCell ref="B57:G57"/>
    <mergeCell ref="B59:M59"/>
    <mergeCell ref="B58:M58"/>
    <mergeCell ref="F54:X54"/>
  </mergeCells>
  <hyperlinks>
    <hyperlink ref="B50:E50" r:id="rId1" display="SASB Materiality Map®" xr:uid="{0C87C4BA-1B4D-4F59-99BE-AF1560DDFE94}"/>
    <hyperlink ref="W40" r:id="rId2" xr:uid="{EA83FD68-181D-40F6-BB37-2BB916DBD67B}"/>
  </hyperlinks>
  <pageMargins left="0.7" right="0.7" top="0.75" bottom="0.75" header="0.3" footer="0.3"/>
  <pageSetup orientation="portrait" r:id="rId3"/>
  <drawing r:id="rId4"/>
  <picture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3221-7A4A-4C8E-98CD-ABF2994D53A0}">
  <sheetPr>
    <tabColor theme="7" tint="0.79998168889431442"/>
    <pageSetUpPr autoPageBreaks="0"/>
  </sheetPr>
  <dimension ref="A1:Z131"/>
  <sheetViews>
    <sheetView showGridLines="0" zoomScale="115" zoomScaleNormal="115" workbookViewId="0"/>
  </sheetViews>
  <sheetFormatPr defaultColWidth="8.77734375" defaultRowHeight="15" x14ac:dyDescent="0.35"/>
  <cols>
    <col min="1" max="1" width="2.77734375" style="1" customWidth="1"/>
    <col min="2" max="2" width="43.6640625" style="1" customWidth="1"/>
    <col min="3" max="3" width="12.77734375" style="22" customWidth="1"/>
    <col min="4" max="11" width="10.6640625" style="1" customWidth="1"/>
    <col min="12" max="12" width="15.6640625" style="1" customWidth="1"/>
    <col min="13" max="16384" width="8.77734375" style="1"/>
  </cols>
  <sheetData>
    <row r="1" spans="2:26" ht="11.55" customHeight="1" x14ac:dyDescent="0.35">
      <c r="C1" s="1"/>
    </row>
    <row r="2" spans="2:26" ht="45" customHeight="1" x14ac:dyDescent="0.35">
      <c r="B2" s="983" t="s">
        <v>775</v>
      </c>
      <c r="C2" s="984"/>
      <c r="D2" s="984"/>
      <c r="E2" s="984"/>
      <c r="F2" s="984"/>
      <c r="G2" s="984"/>
      <c r="H2" s="984"/>
      <c r="I2" s="984"/>
      <c r="J2" s="984"/>
      <c r="K2" s="984"/>
    </row>
    <row r="3" spans="2:26" ht="79.95" customHeight="1" x14ac:dyDescent="0.35">
      <c r="B3" s="987" t="s">
        <v>830</v>
      </c>
      <c r="C3" s="987"/>
      <c r="D3" s="987"/>
      <c r="E3" s="987"/>
      <c r="F3" s="987"/>
      <c r="G3" s="987"/>
      <c r="H3" s="987"/>
      <c r="I3" s="987"/>
      <c r="J3" s="987"/>
      <c r="K3" s="987"/>
    </row>
    <row r="4" spans="2:26" ht="71.400000000000006" customHeight="1" x14ac:dyDescent="0.35">
      <c r="B4" s="987"/>
      <c r="C4" s="987"/>
      <c r="D4" s="987"/>
      <c r="E4" s="987"/>
      <c r="F4" s="987"/>
      <c r="G4" s="987"/>
      <c r="H4" s="987"/>
      <c r="I4" s="987"/>
      <c r="J4" s="987"/>
      <c r="K4" s="987"/>
    </row>
    <row r="5" spans="2:26" ht="10.050000000000001" customHeight="1" x14ac:dyDescent="0.35">
      <c r="B5" s="26"/>
      <c r="C5" s="26"/>
      <c r="D5" s="26"/>
      <c r="E5" s="26"/>
      <c r="F5" s="26"/>
      <c r="G5" s="26"/>
      <c r="H5" s="26"/>
      <c r="I5" s="26"/>
      <c r="J5" s="26"/>
      <c r="K5" s="26"/>
    </row>
    <row r="6" spans="2:26" s="2" customFormat="1" ht="37.950000000000003" customHeight="1" x14ac:dyDescent="0.35">
      <c r="B6" s="568" t="s">
        <v>85</v>
      </c>
      <c r="C6" s="569"/>
      <c r="D6" s="569"/>
      <c r="E6" s="569"/>
      <c r="F6" s="569"/>
      <c r="G6" s="569"/>
      <c r="H6" s="569"/>
      <c r="I6" s="569"/>
      <c r="J6" s="569"/>
      <c r="K6" s="1035"/>
    </row>
    <row r="7" spans="2:26" ht="52.2" customHeight="1" x14ac:dyDescent="0.35">
      <c r="B7" s="437" t="s">
        <v>52</v>
      </c>
      <c r="C7" s="492" t="s">
        <v>761</v>
      </c>
      <c r="D7" s="1034" t="s">
        <v>798</v>
      </c>
      <c r="E7" s="1034"/>
      <c r="F7" s="1034" t="s">
        <v>799</v>
      </c>
      <c r="G7" s="1034"/>
      <c r="H7" s="1034" t="s">
        <v>83</v>
      </c>
      <c r="I7" s="1034"/>
      <c r="J7" s="1034" t="s">
        <v>84</v>
      </c>
      <c r="K7" s="1034"/>
    </row>
    <row r="8" spans="2:26" ht="10.050000000000001" customHeight="1" x14ac:dyDescent="0.35">
      <c r="B8" s="65"/>
      <c r="C8" s="431"/>
      <c r="D8" s="417"/>
      <c r="H8" s="418"/>
      <c r="I8" s="418"/>
      <c r="J8" s="418"/>
      <c r="K8" s="418"/>
      <c r="L8" s="418"/>
      <c r="M8" s="418"/>
      <c r="N8" s="418"/>
      <c r="O8" s="418"/>
      <c r="P8" s="418"/>
      <c r="Q8" s="418"/>
      <c r="R8" s="418"/>
      <c r="S8" s="418"/>
      <c r="T8" s="418"/>
      <c r="U8" s="418"/>
      <c r="V8" s="418"/>
      <c r="W8" s="418"/>
      <c r="X8" s="418"/>
      <c r="Y8" s="418"/>
      <c r="Z8" s="418"/>
    </row>
    <row r="9" spans="2:26" ht="34.950000000000003" customHeight="1" x14ac:dyDescent="0.35">
      <c r="B9" s="428" t="s">
        <v>43</v>
      </c>
      <c r="C9" s="436">
        <f>'Break-Even Scores'!$E$7</f>
        <v>0.55000000000000004</v>
      </c>
      <c r="D9" s="1078">
        <f>$C$9</f>
        <v>0.55000000000000004</v>
      </c>
      <c r="E9" s="1079"/>
      <c r="F9" s="1078">
        <f>$C$9</f>
        <v>0.55000000000000004</v>
      </c>
      <c r="G9" s="1079"/>
      <c r="H9" s="1080">
        <f>$C$9</f>
        <v>0.55000000000000004</v>
      </c>
      <c r="I9" s="1080"/>
      <c r="J9" s="1080">
        <f>$C$9</f>
        <v>0.55000000000000004</v>
      </c>
      <c r="K9" s="1080"/>
      <c r="L9" s="426"/>
      <c r="M9" s="426"/>
      <c r="N9" s="425"/>
      <c r="O9" s="426"/>
      <c r="P9" s="426"/>
      <c r="Q9" s="426"/>
      <c r="R9" s="426"/>
      <c r="S9" s="426"/>
      <c r="T9" s="426"/>
      <c r="U9" s="426"/>
      <c r="V9" s="426"/>
      <c r="W9" s="426"/>
      <c r="X9" s="426"/>
      <c r="Y9" s="426"/>
      <c r="Z9" s="426"/>
    </row>
    <row r="10" spans="2:26" ht="10.050000000000001" customHeight="1" x14ac:dyDescent="0.35">
      <c r="B10" s="20"/>
      <c r="C10" s="21"/>
      <c r="D10" s="21"/>
      <c r="E10" s="21"/>
      <c r="F10" s="21"/>
      <c r="G10" s="21"/>
      <c r="H10" s="21"/>
      <c r="I10" s="21"/>
      <c r="J10" s="21"/>
      <c r="K10" s="21"/>
      <c r="L10" s="418"/>
      <c r="M10" s="418"/>
      <c r="N10" s="418"/>
      <c r="O10" s="418"/>
      <c r="P10" s="418"/>
      <c r="Q10" s="418"/>
      <c r="R10" s="418"/>
      <c r="S10" s="418"/>
      <c r="T10" s="418"/>
      <c r="U10" s="418"/>
      <c r="V10" s="418"/>
      <c r="W10" s="418"/>
      <c r="X10" s="418"/>
      <c r="Y10" s="418"/>
      <c r="Z10" s="418"/>
    </row>
    <row r="11" spans="2:26" ht="30" customHeight="1" x14ac:dyDescent="0.35">
      <c r="B11" s="463" t="s">
        <v>28</v>
      </c>
      <c r="C11" s="464">
        <f>'Break-Even Scores'!$E$10</f>
        <v>0.11214953271028037</v>
      </c>
      <c r="D11" s="1054">
        <f>SUM(C11:C14)/4</f>
        <v>0.61940418533949448</v>
      </c>
      <c r="E11" s="1055"/>
      <c r="F11" s="1060"/>
      <c r="G11" s="1061"/>
      <c r="H11" s="1066"/>
      <c r="I11" s="1067"/>
      <c r="J11" s="1072"/>
      <c r="K11" s="1073"/>
      <c r="L11" s="425"/>
      <c r="M11" s="425"/>
      <c r="N11" s="425"/>
      <c r="O11" s="425"/>
      <c r="P11" s="425"/>
      <c r="Q11" s="425"/>
      <c r="R11" s="425"/>
      <c r="S11" s="425"/>
      <c r="T11" s="425"/>
      <c r="U11" s="425"/>
      <c r="V11" s="425"/>
      <c r="W11" s="425"/>
      <c r="X11" s="425"/>
      <c r="Y11" s="425"/>
      <c r="Z11" s="425"/>
    </row>
    <row r="12" spans="2:26" ht="34.950000000000003" customHeight="1" x14ac:dyDescent="0.35">
      <c r="B12" s="447" t="s">
        <v>1</v>
      </c>
      <c r="C12" s="429">
        <f>'Break-Even Scores'!$E$11</f>
        <v>0.78169014084507038</v>
      </c>
      <c r="D12" s="1056"/>
      <c r="E12" s="1057"/>
      <c r="F12" s="1062"/>
      <c r="G12" s="1063"/>
      <c r="H12" s="1068"/>
      <c r="I12" s="1069"/>
      <c r="J12" s="1074"/>
      <c r="K12" s="1075"/>
      <c r="L12" s="425"/>
      <c r="M12" s="425"/>
      <c r="N12" s="425"/>
      <c r="O12" s="425"/>
      <c r="P12" s="425"/>
      <c r="Q12" s="425"/>
      <c r="R12" s="425"/>
      <c r="S12" s="425"/>
      <c r="T12" s="425"/>
      <c r="U12" s="425"/>
      <c r="V12" s="425"/>
      <c r="W12" s="425"/>
      <c r="X12" s="425"/>
      <c r="Y12" s="425"/>
      <c r="Z12" s="425"/>
    </row>
    <row r="13" spans="2:26" ht="30" customHeight="1" x14ac:dyDescent="0.35">
      <c r="B13" s="447" t="s">
        <v>707</v>
      </c>
      <c r="C13" s="429">
        <f>'Break-Even Scores'!$E$12</f>
        <v>1</v>
      </c>
      <c r="D13" s="1056"/>
      <c r="E13" s="1057"/>
      <c r="F13" s="1062"/>
      <c r="G13" s="1063"/>
      <c r="H13" s="1068"/>
      <c r="I13" s="1069"/>
      <c r="J13" s="1074"/>
      <c r="K13" s="1075"/>
      <c r="L13" s="425"/>
      <c r="M13" s="425"/>
      <c r="N13" s="425"/>
      <c r="O13" s="425"/>
      <c r="P13" s="425"/>
      <c r="Q13" s="425"/>
      <c r="R13" s="425"/>
      <c r="S13" s="425"/>
      <c r="T13" s="425"/>
      <c r="U13" s="425"/>
      <c r="V13" s="425"/>
      <c r="W13" s="425"/>
      <c r="X13" s="425"/>
      <c r="Y13" s="425"/>
      <c r="Z13" s="425"/>
    </row>
    <row r="14" spans="2:26" ht="30" customHeight="1" x14ac:dyDescent="0.35">
      <c r="B14" s="427" t="s">
        <v>685</v>
      </c>
      <c r="C14" s="430">
        <f>'Break-Even Scores'!$E$13</f>
        <v>0.58377706780262695</v>
      </c>
      <c r="D14" s="1058"/>
      <c r="E14" s="1059"/>
      <c r="F14" s="1064"/>
      <c r="G14" s="1065"/>
      <c r="H14" s="1070"/>
      <c r="I14" s="1071"/>
      <c r="J14" s="1076"/>
      <c r="K14" s="1077"/>
      <c r="L14" s="425"/>
      <c r="M14" s="425"/>
      <c r="N14" s="425"/>
      <c r="O14" s="425"/>
      <c r="P14" s="425"/>
      <c r="Q14" s="425"/>
      <c r="R14" s="425"/>
      <c r="S14" s="425"/>
      <c r="T14" s="425"/>
      <c r="U14" s="425"/>
      <c r="V14" s="425"/>
      <c r="W14" s="425"/>
      <c r="X14" s="425"/>
      <c r="Y14" s="425"/>
      <c r="Z14" s="425"/>
    </row>
    <row r="15" spans="2:26" ht="10.050000000000001" customHeight="1" x14ac:dyDescent="0.35">
      <c r="B15" s="65"/>
      <c r="C15" s="431"/>
      <c r="D15" s="431"/>
      <c r="E15" s="431"/>
      <c r="F15" s="431"/>
      <c r="G15" s="431"/>
      <c r="H15" s="431"/>
      <c r="I15" s="431"/>
      <c r="J15" s="431"/>
      <c r="K15" s="431"/>
      <c r="L15" s="431"/>
      <c r="M15" s="418"/>
      <c r="N15" s="418"/>
      <c r="O15" s="418"/>
      <c r="P15" s="418"/>
      <c r="Q15" s="418"/>
      <c r="R15" s="418"/>
      <c r="S15" s="418"/>
      <c r="T15" s="418"/>
      <c r="U15" s="418"/>
      <c r="V15" s="418"/>
      <c r="W15" s="418"/>
      <c r="X15" s="418"/>
      <c r="Y15" s="418"/>
      <c r="Z15" s="418"/>
    </row>
    <row r="16" spans="2:26" ht="30" customHeight="1" x14ac:dyDescent="0.35">
      <c r="B16" s="463" t="s">
        <v>705</v>
      </c>
      <c r="C16" s="464">
        <f>+'Break-Even Scores'!$E$17</f>
        <v>0.29853228962818001</v>
      </c>
      <c r="D16" s="1060"/>
      <c r="E16" s="1061"/>
      <c r="F16" s="1054">
        <f>SUM(C16:C21)/6</f>
        <v>0.52672542397812749</v>
      </c>
      <c r="G16" s="1055"/>
      <c r="H16" s="1066"/>
      <c r="I16" s="1067"/>
      <c r="J16" s="1072"/>
      <c r="K16" s="1073"/>
      <c r="L16" s="425"/>
      <c r="M16" s="425"/>
      <c r="N16" s="426"/>
      <c r="O16" s="425"/>
      <c r="P16" s="425"/>
      <c r="Q16" s="425"/>
      <c r="R16" s="425"/>
      <c r="S16" s="425"/>
      <c r="T16" s="425"/>
      <c r="U16" s="426"/>
      <c r="V16" s="425"/>
      <c r="W16" s="425"/>
      <c r="X16" s="425"/>
      <c r="Y16" s="425"/>
      <c r="Z16" s="425"/>
    </row>
    <row r="17" spans="2:26" ht="30" customHeight="1" x14ac:dyDescent="0.35">
      <c r="B17" s="448" t="s">
        <v>706</v>
      </c>
      <c r="C17" s="429">
        <f>'Break-Even Scores'!$E$22</f>
        <v>0.69237868184265172</v>
      </c>
      <c r="D17" s="1062"/>
      <c r="E17" s="1063"/>
      <c r="F17" s="1056"/>
      <c r="G17" s="1057"/>
      <c r="H17" s="1068"/>
      <c r="I17" s="1069"/>
      <c r="J17" s="1074"/>
      <c r="K17" s="1075"/>
      <c r="L17" s="425"/>
      <c r="M17" s="425"/>
      <c r="N17" s="426"/>
      <c r="O17" s="425"/>
      <c r="P17" s="425"/>
      <c r="Q17" s="425"/>
      <c r="R17" s="425"/>
      <c r="S17" s="425"/>
      <c r="T17" s="425"/>
      <c r="U17" s="426"/>
      <c r="V17" s="425"/>
      <c r="W17" s="425"/>
      <c r="X17" s="425"/>
      <c r="Y17" s="425"/>
      <c r="Z17" s="425"/>
    </row>
    <row r="18" spans="2:26" ht="30" customHeight="1" x14ac:dyDescent="0.35">
      <c r="B18" s="448" t="s">
        <v>708</v>
      </c>
      <c r="C18" s="429">
        <f>'Break-Even Scores'!$E$18</f>
        <v>0.44862835249042143</v>
      </c>
      <c r="D18" s="1062"/>
      <c r="E18" s="1063"/>
      <c r="F18" s="1056"/>
      <c r="G18" s="1057"/>
      <c r="H18" s="1068"/>
      <c r="I18" s="1069"/>
      <c r="J18" s="1074"/>
      <c r="K18" s="1075"/>
      <c r="L18" s="426"/>
      <c r="M18" s="426"/>
      <c r="N18" s="425"/>
      <c r="O18" s="425"/>
      <c r="P18" s="425"/>
      <c r="Q18" s="425"/>
      <c r="R18" s="425"/>
      <c r="S18" s="425"/>
      <c r="T18" s="425"/>
      <c r="U18" s="425"/>
      <c r="V18" s="425"/>
      <c r="W18" s="425"/>
      <c r="X18" s="425"/>
      <c r="Y18" s="425"/>
      <c r="Z18" s="425"/>
    </row>
    <row r="19" spans="2:26" ht="30" customHeight="1" x14ac:dyDescent="0.35">
      <c r="B19" s="448" t="s">
        <v>709</v>
      </c>
      <c r="C19" s="429">
        <f>'Break-Even Scores'!$E$23</f>
        <v>0.74063981020458036</v>
      </c>
      <c r="D19" s="1062"/>
      <c r="E19" s="1063"/>
      <c r="F19" s="1056"/>
      <c r="G19" s="1057"/>
      <c r="H19" s="1068"/>
      <c r="I19" s="1069"/>
      <c r="J19" s="1074"/>
      <c r="K19" s="1075"/>
      <c r="L19" s="426"/>
      <c r="M19" s="426"/>
      <c r="N19" s="425"/>
      <c r="O19" s="425"/>
      <c r="P19" s="425"/>
      <c r="Q19" s="425"/>
      <c r="R19" s="425"/>
      <c r="S19" s="425"/>
      <c r="T19" s="425"/>
      <c r="U19" s="425"/>
      <c r="V19" s="425"/>
      <c r="W19" s="425"/>
      <c r="X19" s="425"/>
      <c r="Y19" s="425"/>
      <c r="Z19" s="425"/>
    </row>
    <row r="20" spans="2:26" ht="30" customHeight="1" x14ac:dyDescent="0.35">
      <c r="B20" s="447" t="s">
        <v>684</v>
      </c>
      <c r="C20" s="429">
        <f>'Break-Even Scores'!$E$16</f>
        <v>0.62663805616757784</v>
      </c>
      <c r="D20" s="1062"/>
      <c r="E20" s="1063"/>
      <c r="F20" s="1056"/>
      <c r="G20" s="1057"/>
      <c r="H20" s="1068"/>
      <c r="I20" s="1069"/>
      <c r="J20" s="1074"/>
      <c r="K20" s="1075"/>
      <c r="L20" s="426"/>
      <c r="M20" s="426"/>
      <c r="N20" s="426"/>
      <c r="O20" s="425"/>
      <c r="P20" s="425"/>
      <c r="Q20" s="425"/>
      <c r="R20" s="425"/>
      <c r="S20" s="425"/>
      <c r="T20" s="425"/>
      <c r="U20" s="426"/>
      <c r="V20" s="425"/>
      <c r="W20" s="425"/>
      <c r="X20" s="425"/>
      <c r="Y20" s="425"/>
      <c r="Z20" s="425"/>
    </row>
    <row r="21" spans="2:26" ht="34.950000000000003" customHeight="1" x14ac:dyDescent="0.35">
      <c r="B21" s="427" t="s">
        <v>2</v>
      </c>
      <c r="C21" s="430">
        <f>'Break-Even Scores'!$E$19</f>
        <v>0.35353535353535354</v>
      </c>
      <c r="D21" s="1064"/>
      <c r="E21" s="1065"/>
      <c r="F21" s="1058"/>
      <c r="G21" s="1059"/>
      <c r="H21" s="1070"/>
      <c r="I21" s="1071"/>
      <c r="J21" s="1076"/>
      <c r="K21" s="1077"/>
      <c r="L21" s="426"/>
      <c r="M21" s="426"/>
      <c r="N21" s="426"/>
      <c r="O21" s="425"/>
      <c r="P21" s="425"/>
      <c r="Q21" s="425"/>
      <c r="R21" s="425"/>
      <c r="S21" s="425"/>
      <c r="T21" s="425"/>
      <c r="U21" s="426"/>
      <c r="V21" s="425"/>
      <c r="W21" s="425"/>
      <c r="X21" s="425"/>
      <c r="Y21" s="425"/>
      <c r="Z21" s="425"/>
    </row>
    <row r="22" spans="2:26" ht="10.050000000000001" customHeight="1" x14ac:dyDescent="0.35">
      <c r="B22" s="65"/>
      <c r="C22" s="431"/>
      <c r="D22" s="417"/>
      <c r="H22" s="418"/>
      <c r="I22" s="418"/>
      <c r="J22" s="418"/>
      <c r="K22" s="418"/>
      <c r="L22" s="418"/>
      <c r="M22" s="418"/>
      <c r="N22" s="418"/>
      <c r="O22" s="418"/>
      <c r="P22" s="418"/>
      <c r="Q22" s="418"/>
      <c r="R22" s="418"/>
      <c r="S22" s="418"/>
      <c r="T22" s="418"/>
      <c r="U22" s="418"/>
      <c r="V22" s="418"/>
      <c r="W22" s="418"/>
      <c r="X22" s="418"/>
      <c r="Y22" s="418"/>
      <c r="Z22" s="418"/>
    </row>
    <row r="23" spans="2:26" ht="30" customHeight="1" x14ac:dyDescent="0.35">
      <c r="B23" s="419" t="s">
        <v>6</v>
      </c>
      <c r="C23" s="432">
        <f>'Break-Even Scores'!$E$27</f>
        <v>0.69512195121951215</v>
      </c>
      <c r="D23" s="1093"/>
      <c r="E23" s="1093"/>
      <c r="F23" s="1081"/>
      <c r="G23" s="1082"/>
      <c r="H23" s="1087">
        <f>SUM(C23:C27)/5</f>
        <v>0.51365853658536587</v>
      </c>
      <c r="I23" s="1087"/>
      <c r="J23" s="1090"/>
      <c r="K23" s="1090"/>
      <c r="L23" s="425"/>
      <c r="M23" s="425"/>
      <c r="N23" s="425"/>
      <c r="O23" s="426"/>
      <c r="P23" s="426"/>
      <c r="Q23" s="426"/>
      <c r="R23" s="425"/>
      <c r="S23" s="425"/>
      <c r="T23" s="425"/>
      <c r="U23" s="426"/>
      <c r="V23" s="425"/>
      <c r="W23" s="425"/>
      <c r="X23" s="425"/>
      <c r="Y23" s="425"/>
      <c r="Z23" s="425"/>
    </row>
    <row r="24" spans="2:26" ht="30" customHeight="1" x14ac:dyDescent="0.35">
      <c r="B24" s="420" t="s">
        <v>21</v>
      </c>
      <c r="C24" s="433">
        <f>'Break-Even Scores'!$E$28</f>
        <v>0.50731707317073171</v>
      </c>
      <c r="D24" s="1094"/>
      <c r="E24" s="1094"/>
      <c r="F24" s="1083"/>
      <c r="G24" s="1084"/>
      <c r="H24" s="1088"/>
      <c r="I24" s="1088"/>
      <c r="J24" s="1091"/>
      <c r="K24" s="1091"/>
      <c r="L24" s="425"/>
      <c r="M24" s="425"/>
      <c r="N24" s="425"/>
      <c r="O24" s="426"/>
      <c r="P24" s="426"/>
      <c r="Q24" s="426"/>
      <c r="R24" s="425"/>
      <c r="S24" s="425"/>
      <c r="T24" s="425"/>
      <c r="U24" s="426"/>
      <c r="V24" s="425"/>
      <c r="W24" s="425"/>
      <c r="X24" s="425"/>
      <c r="Y24" s="425"/>
      <c r="Z24" s="425"/>
    </row>
    <row r="25" spans="2:26" ht="34.950000000000003" customHeight="1" x14ac:dyDescent="0.35">
      <c r="B25" s="420" t="s">
        <v>20</v>
      </c>
      <c r="C25" s="433">
        <f>'Break-Even Scores'!$E$30</f>
        <v>0.88048780487804879</v>
      </c>
      <c r="D25" s="1094"/>
      <c r="E25" s="1094"/>
      <c r="F25" s="1083"/>
      <c r="G25" s="1084"/>
      <c r="H25" s="1088"/>
      <c r="I25" s="1088"/>
      <c r="J25" s="1091"/>
      <c r="K25" s="1091"/>
      <c r="L25" s="425"/>
      <c r="M25" s="425"/>
      <c r="N25" s="425"/>
      <c r="O25" s="426"/>
      <c r="P25" s="426"/>
      <c r="Q25" s="426"/>
      <c r="R25" s="426"/>
      <c r="S25" s="425"/>
      <c r="T25" s="425"/>
      <c r="U25" s="426"/>
      <c r="V25" s="425"/>
      <c r="W25" s="425"/>
      <c r="X25" s="425"/>
      <c r="Y25" s="425"/>
      <c r="Z25" s="425"/>
    </row>
    <row r="26" spans="2:26" ht="30" customHeight="1" x14ac:dyDescent="0.35">
      <c r="B26" s="420" t="s">
        <v>18</v>
      </c>
      <c r="C26" s="433">
        <f>'Break-Even Scores'!$E$29</f>
        <v>0.12195121951219512</v>
      </c>
      <c r="D26" s="1094"/>
      <c r="E26" s="1094"/>
      <c r="F26" s="1083"/>
      <c r="G26" s="1084"/>
      <c r="H26" s="1088"/>
      <c r="I26" s="1088"/>
      <c r="J26" s="1091"/>
      <c r="K26" s="1091"/>
      <c r="L26" s="425"/>
      <c r="M26" s="425"/>
      <c r="N26" s="425"/>
      <c r="O26" s="425"/>
      <c r="P26" s="425"/>
      <c r="Q26" s="425"/>
      <c r="R26" s="426"/>
      <c r="S26" s="425"/>
      <c r="T26" s="425"/>
      <c r="U26" s="426"/>
      <c r="V26" s="425"/>
      <c r="W26" s="425"/>
      <c r="X26" s="425"/>
      <c r="Y26" s="425"/>
      <c r="Z26" s="425"/>
    </row>
    <row r="27" spans="2:26" ht="30" customHeight="1" x14ac:dyDescent="0.35">
      <c r="B27" s="421" t="s">
        <v>19</v>
      </c>
      <c r="C27" s="434">
        <f>'Break-Even Scores'!$E$26</f>
        <v>0.36341463414634145</v>
      </c>
      <c r="D27" s="1095"/>
      <c r="E27" s="1095"/>
      <c r="F27" s="1085"/>
      <c r="G27" s="1086"/>
      <c r="H27" s="1089"/>
      <c r="I27" s="1089"/>
      <c r="J27" s="1092"/>
      <c r="K27" s="1092"/>
      <c r="L27" s="425"/>
      <c r="M27" s="425"/>
      <c r="N27" s="425"/>
      <c r="O27" s="425"/>
      <c r="P27" s="425"/>
      <c r="Q27" s="425"/>
      <c r="R27" s="425"/>
      <c r="S27" s="426"/>
      <c r="T27" s="426"/>
      <c r="U27" s="426"/>
      <c r="V27" s="425"/>
      <c r="W27" s="425"/>
      <c r="X27" s="425"/>
      <c r="Y27" s="425"/>
      <c r="Z27" s="425"/>
    </row>
    <row r="28" spans="2:26" ht="10.050000000000001" customHeight="1" x14ac:dyDescent="0.35">
      <c r="B28" s="65"/>
      <c r="C28" s="431"/>
      <c r="D28" s="417"/>
      <c r="H28" s="418"/>
      <c r="I28" s="418"/>
      <c r="J28" s="418"/>
      <c r="K28" s="418"/>
      <c r="L28" s="418"/>
      <c r="M28" s="418"/>
      <c r="N28" s="418"/>
      <c r="O28" s="418"/>
      <c r="P28" s="418"/>
      <c r="Q28" s="418"/>
      <c r="R28" s="418"/>
      <c r="S28" s="418"/>
      <c r="T28" s="418"/>
      <c r="U28" s="418"/>
      <c r="V28" s="418"/>
      <c r="W28" s="418"/>
      <c r="X28" s="418"/>
      <c r="Y28" s="418"/>
      <c r="Z28" s="418"/>
    </row>
    <row r="29" spans="2:26" ht="30" customHeight="1" x14ac:dyDescent="0.35">
      <c r="B29" s="422" t="s">
        <v>675</v>
      </c>
      <c r="C29" s="432">
        <f>'Break-Even Scores'!$E$33</f>
        <v>0.75000000000000011</v>
      </c>
      <c r="D29" s="1093"/>
      <c r="E29" s="1093"/>
      <c r="F29" s="1081"/>
      <c r="G29" s="1082"/>
      <c r="H29" s="1099"/>
      <c r="I29" s="1099"/>
      <c r="J29" s="1087">
        <f>SUM(C29:C36)/7</f>
        <v>0.73477355298785407</v>
      </c>
      <c r="K29" s="1087"/>
      <c r="L29" s="425"/>
      <c r="M29" s="425"/>
      <c r="N29" s="425"/>
      <c r="O29" s="425"/>
      <c r="P29" s="425"/>
      <c r="Q29" s="425"/>
      <c r="R29" s="425"/>
      <c r="S29" s="425"/>
      <c r="T29" s="425"/>
      <c r="U29" s="426"/>
      <c r="V29" s="426"/>
      <c r="W29" s="426"/>
      <c r="X29" s="426"/>
      <c r="Y29" s="426"/>
      <c r="Z29" s="426"/>
    </row>
    <row r="30" spans="2:26" ht="30" customHeight="1" x14ac:dyDescent="0.35">
      <c r="B30" s="423" t="s">
        <v>674</v>
      </c>
      <c r="C30" s="433">
        <f>'Break-Even Scores'!$E$34</f>
        <v>0.42303699146350843</v>
      </c>
      <c r="D30" s="1094"/>
      <c r="E30" s="1094"/>
      <c r="F30" s="1083"/>
      <c r="G30" s="1084"/>
      <c r="H30" s="1100"/>
      <c r="I30" s="1100"/>
      <c r="J30" s="1088"/>
      <c r="K30" s="1088"/>
      <c r="L30" s="425"/>
      <c r="M30" s="425"/>
      <c r="N30" s="425"/>
      <c r="O30" s="425"/>
      <c r="P30" s="425"/>
      <c r="Q30" s="425"/>
      <c r="R30" s="425"/>
      <c r="S30" s="425"/>
      <c r="T30" s="425"/>
      <c r="U30" s="426"/>
      <c r="V30" s="426"/>
      <c r="W30" s="426"/>
      <c r="X30" s="426"/>
      <c r="Y30" s="426"/>
      <c r="Z30" s="426"/>
    </row>
    <row r="31" spans="2:26" ht="30" customHeight="1" x14ac:dyDescent="0.35">
      <c r="B31" s="423" t="s">
        <v>672</v>
      </c>
      <c r="C31" s="433">
        <f>'Break-Even Scores'!$E$36</f>
        <v>0.3460739829270168</v>
      </c>
      <c r="D31" s="1094"/>
      <c r="E31" s="1094"/>
      <c r="F31" s="1083"/>
      <c r="G31" s="1084"/>
      <c r="H31" s="1100"/>
      <c r="I31" s="1100"/>
      <c r="J31" s="1088"/>
      <c r="K31" s="1088"/>
      <c r="L31" s="425"/>
      <c r="M31" s="425"/>
      <c r="N31" s="425"/>
      <c r="O31" s="425"/>
      <c r="P31" s="425"/>
      <c r="Q31" s="425"/>
      <c r="R31" s="425"/>
      <c r="S31" s="425"/>
      <c r="T31" s="425"/>
      <c r="U31" s="426"/>
      <c r="V31" s="426"/>
      <c r="W31" s="426"/>
      <c r="X31" s="426"/>
      <c r="Y31" s="426"/>
      <c r="Z31" s="426"/>
    </row>
    <row r="32" spans="2:26" ht="30" customHeight="1" x14ac:dyDescent="0.35">
      <c r="B32" s="423" t="s">
        <v>710</v>
      </c>
      <c r="C32" s="433">
        <f>'Break-Even Scores'!$E$35</f>
        <v>0.76926093978312693</v>
      </c>
      <c r="D32" s="1094"/>
      <c r="E32" s="1094"/>
      <c r="F32" s="1083"/>
      <c r="G32" s="1084"/>
      <c r="H32" s="1100"/>
      <c r="I32" s="1100"/>
      <c r="J32" s="1088"/>
      <c r="K32" s="1088"/>
      <c r="L32" s="425"/>
      <c r="M32" s="425"/>
      <c r="N32" s="425"/>
      <c r="O32" s="425"/>
      <c r="P32" s="425"/>
      <c r="Q32" s="425"/>
      <c r="R32" s="425"/>
      <c r="S32" s="425"/>
      <c r="T32" s="425"/>
      <c r="U32" s="426"/>
      <c r="V32" s="426"/>
      <c r="W32" s="426"/>
      <c r="X32" s="426"/>
      <c r="Y32" s="426"/>
      <c r="Z32" s="426"/>
    </row>
    <row r="33" spans="1:26" ht="30" customHeight="1" x14ac:dyDescent="0.35">
      <c r="B33" s="423" t="s">
        <v>711</v>
      </c>
      <c r="C33" s="433">
        <f>'Break-Even Scores'!E37</f>
        <v>0.88115942028985506</v>
      </c>
      <c r="D33" s="1094"/>
      <c r="E33" s="1094"/>
      <c r="F33" s="1083"/>
      <c r="G33" s="1084"/>
      <c r="H33" s="1100"/>
      <c r="I33" s="1100"/>
      <c r="J33" s="1088"/>
      <c r="K33" s="1088"/>
      <c r="L33" s="425"/>
      <c r="M33" s="425"/>
      <c r="N33" s="425"/>
      <c r="O33" s="425"/>
      <c r="P33" s="425"/>
      <c r="Q33" s="425"/>
      <c r="R33" s="425"/>
      <c r="S33" s="425"/>
      <c r="T33" s="425"/>
      <c r="U33" s="426"/>
      <c r="V33" s="426"/>
      <c r="W33" s="426"/>
      <c r="X33" s="426"/>
      <c r="Y33" s="426"/>
      <c r="Z33" s="426"/>
    </row>
    <row r="34" spans="1:26" ht="30" customHeight="1" x14ac:dyDescent="0.35">
      <c r="B34" s="423" t="s">
        <v>17</v>
      </c>
      <c r="C34" s="433">
        <f>'Break-Even Scores'!$E$37</f>
        <v>0.88115942028985506</v>
      </c>
      <c r="D34" s="1094"/>
      <c r="E34" s="1094"/>
      <c r="F34" s="1083"/>
      <c r="G34" s="1084"/>
      <c r="H34" s="1100"/>
      <c r="I34" s="1100"/>
      <c r="J34" s="1088"/>
      <c r="K34" s="1088"/>
      <c r="L34" s="425"/>
      <c r="M34" s="425"/>
      <c r="N34" s="426"/>
      <c r="O34" s="425"/>
      <c r="P34" s="425"/>
      <c r="Q34" s="425"/>
      <c r="R34" s="425"/>
      <c r="S34" s="425"/>
      <c r="T34" s="425"/>
      <c r="U34" s="426"/>
      <c r="V34" s="426"/>
      <c r="W34" s="426"/>
      <c r="X34" s="426"/>
      <c r="Y34" s="426"/>
      <c r="Z34" s="426"/>
    </row>
    <row r="35" spans="1:26" ht="34.950000000000003" customHeight="1" x14ac:dyDescent="0.35">
      <c r="B35" s="423" t="s">
        <v>16</v>
      </c>
      <c r="C35" s="433">
        <f>'Break-Even Scores'!$E$39</f>
        <v>0.5</v>
      </c>
      <c r="D35" s="1094"/>
      <c r="E35" s="1094"/>
      <c r="F35" s="1083"/>
      <c r="G35" s="1084"/>
      <c r="H35" s="1100"/>
      <c r="I35" s="1100"/>
      <c r="J35" s="1088"/>
      <c r="K35" s="1088"/>
      <c r="L35" s="425"/>
      <c r="M35" s="425"/>
      <c r="N35" s="425"/>
      <c r="O35" s="425"/>
      <c r="P35" s="425"/>
      <c r="Q35" s="425"/>
      <c r="R35" s="425"/>
      <c r="S35" s="425"/>
      <c r="T35" s="425"/>
      <c r="U35" s="426"/>
      <c r="V35" s="426"/>
      <c r="W35" s="426"/>
      <c r="X35" s="426"/>
      <c r="Y35" s="426"/>
      <c r="Z35" s="426"/>
    </row>
    <row r="36" spans="1:26" ht="34.950000000000003" customHeight="1" x14ac:dyDescent="0.35">
      <c r="B36" s="424" t="s">
        <v>669</v>
      </c>
      <c r="C36" s="435">
        <f>'Break-Even Scores'!$E$40</f>
        <v>0.59272411616161624</v>
      </c>
      <c r="D36" s="1095"/>
      <c r="E36" s="1095"/>
      <c r="F36" s="1085"/>
      <c r="G36" s="1086"/>
      <c r="H36" s="1101"/>
      <c r="I36" s="1101"/>
      <c r="J36" s="1089"/>
      <c r="K36" s="1089"/>
      <c r="L36" s="425"/>
      <c r="M36" s="425"/>
      <c r="N36" s="425"/>
      <c r="O36" s="425"/>
      <c r="P36" s="425"/>
      <c r="Q36" s="425"/>
      <c r="R36" s="425"/>
      <c r="S36" s="425"/>
      <c r="T36" s="425"/>
      <c r="U36" s="426"/>
      <c r="V36" s="426"/>
      <c r="W36" s="426"/>
      <c r="X36" s="426"/>
      <c r="Y36" s="426"/>
      <c r="Z36" s="426"/>
    </row>
    <row r="37" spans="1:26" ht="10.050000000000001" customHeight="1" x14ac:dyDescent="0.35">
      <c r="B37" s="20"/>
      <c r="C37" s="21"/>
      <c r="D37" s="21"/>
      <c r="E37" s="21"/>
      <c r="F37" s="21"/>
      <c r="G37" s="21"/>
      <c r="H37" s="21"/>
      <c r="I37" s="21"/>
      <c r="J37" s="21"/>
      <c r="K37" s="21"/>
    </row>
    <row r="38" spans="1:26" ht="51" customHeight="1" x14ac:dyDescent="0.35">
      <c r="B38" s="1096"/>
      <c r="C38" s="1096"/>
      <c r="D38" s="1034" t="s">
        <v>798</v>
      </c>
      <c r="E38" s="1034"/>
      <c r="F38" s="1034" t="s">
        <v>799</v>
      </c>
      <c r="G38" s="1034"/>
      <c r="H38" s="1034" t="s">
        <v>83</v>
      </c>
      <c r="I38" s="1034"/>
      <c r="J38" s="1034" t="s">
        <v>84</v>
      </c>
      <c r="K38" s="1034"/>
    </row>
    <row r="39" spans="1:26" ht="27.45" customHeight="1" x14ac:dyDescent="0.35">
      <c r="B39" s="1098" t="s">
        <v>800</v>
      </c>
      <c r="C39" s="1098"/>
      <c r="D39" s="1097">
        <f>SUM(D9:E36)/2</f>
        <v>0.58470209266974726</v>
      </c>
      <c r="E39" s="1097"/>
      <c r="F39" s="1097">
        <f>SUM(F9:G36)/2</f>
        <v>0.53836271198906371</v>
      </c>
      <c r="G39" s="1097"/>
      <c r="H39" s="1097">
        <f t="shared" ref="H39" si="0">SUM(H9:I36)/2</f>
        <v>0.53182926829268296</v>
      </c>
      <c r="I39" s="1097"/>
      <c r="J39" s="1097">
        <f t="shared" ref="J39" si="1">SUM(J9:K36)/2</f>
        <v>0.64238677649392706</v>
      </c>
      <c r="K39" s="1097"/>
      <c r="L39" s="62"/>
    </row>
    <row r="40" spans="1:26" ht="10.050000000000001" customHeight="1" x14ac:dyDescent="0.35">
      <c r="B40" s="468"/>
      <c r="C40" s="468"/>
      <c r="D40" s="468"/>
      <c r="E40" s="468"/>
      <c r="F40" s="468"/>
      <c r="G40" s="468"/>
      <c r="H40" s="468"/>
      <c r="I40" s="468"/>
      <c r="J40" s="468"/>
      <c r="K40" s="468"/>
      <c r="L40" s="426"/>
      <c r="M40" s="468"/>
      <c r="N40" s="468"/>
      <c r="O40" s="468"/>
      <c r="P40" s="468"/>
      <c r="Q40" s="468"/>
      <c r="R40" s="468"/>
      <c r="S40" s="426"/>
      <c r="T40" s="468"/>
      <c r="U40" s="468"/>
      <c r="V40" s="468"/>
      <c r="W40" s="468"/>
      <c r="X40" s="468"/>
      <c r="Y40" s="488"/>
    </row>
    <row r="41" spans="1:26" s="7" customFormat="1" ht="52.8" customHeight="1" x14ac:dyDescent="0.35">
      <c r="B41" s="1025" t="s">
        <v>808</v>
      </c>
      <c r="C41" s="1026"/>
      <c r="D41" s="1026"/>
      <c r="E41" s="1026"/>
      <c r="F41" s="1026"/>
      <c r="G41" s="1026"/>
      <c r="H41" s="1026"/>
      <c r="I41" s="1027"/>
      <c r="J41" s="1028" t="s">
        <v>789</v>
      </c>
      <c r="K41" s="1029"/>
      <c r="L41" s="502"/>
      <c r="M41" s="502"/>
      <c r="N41" s="491"/>
      <c r="O41" s="491"/>
      <c r="P41" s="491"/>
      <c r="Q41" s="491"/>
      <c r="R41" s="491"/>
      <c r="S41" s="491"/>
      <c r="T41" s="503"/>
    </row>
    <row r="42" spans="1:26" ht="10.050000000000001" customHeight="1" x14ac:dyDescent="0.35">
      <c r="C42" s="1"/>
    </row>
    <row r="43" spans="1:26" s="4" customFormat="1" ht="28.5" customHeight="1" x14ac:dyDescent="0.35">
      <c r="A43" s="9"/>
      <c r="B43" s="1016" t="s">
        <v>763</v>
      </c>
      <c r="C43" s="1016"/>
      <c r="D43" s="1017"/>
      <c r="E43" s="1020" t="s">
        <v>817</v>
      </c>
      <c r="F43" s="548"/>
      <c r="G43" s="548"/>
      <c r="H43" s="548"/>
      <c r="I43" s="548"/>
      <c r="J43" s="548"/>
      <c r="K43" s="548"/>
      <c r="L43" s="505"/>
      <c r="M43" s="506"/>
      <c r="N43" s="506"/>
      <c r="O43" s="506"/>
      <c r="P43" s="506"/>
      <c r="Q43" s="506"/>
      <c r="R43" s="506"/>
      <c r="S43" s="506"/>
      <c r="T43" s="506"/>
      <c r="U43" s="506"/>
      <c r="V43" s="506"/>
      <c r="W43" s="506"/>
      <c r="X43" s="506"/>
    </row>
    <row r="44" spans="1:26" ht="34.5" customHeight="1" x14ac:dyDescent="0.35">
      <c r="B44" s="414" t="s">
        <v>770</v>
      </c>
      <c r="C44" s="1018" t="s">
        <v>764</v>
      </c>
      <c r="D44" s="1018"/>
      <c r="E44" s="1021"/>
      <c r="F44" s="648"/>
      <c r="G44" s="648"/>
      <c r="H44" s="648"/>
      <c r="I44" s="648"/>
      <c r="J44" s="648"/>
      <c r="K44" s="648"/>
      <c r="L44" s="505"/>
      <c r="M44" s="506"/>
      <c r="N44" s="506"/>
      <c r="O44" s="506"/>
      <c r="P44" s="506"/>
      <c r="Q44" s="506"/>
      <c r="R44" s="506"/>
      <c r="S44" s="506"/>
      <c r="T44" s="506"/>
      <c r="U44" s="506"/>
      <c r="V44" s="506"/>
      <c r="W44" s="506"/>
      <c r="X44" s="506"/>
    </row>
    <row r="45" spans="1:26" ht="84" customHeight="1" x14ac:dyDescent="0.35">
      <c r="B45" s="413" t="s">
        <v>771</v>
      </c>
      <c r="C45" s="1019" t="s">
        <v>765</v>
      </c>
      <c r="D45" s="1019"/>
      <c r="E45" s="1030" t="s">
        <v>768</v>
      </c>
      <c r="F45" s="1031"/>
      <c r="G45" s="1031"/>
      <c r="H45" s="1031"/>
      <c r="I45" s="1031"/>
      <c r="J45" s="1031"/>
      <c r="K45" s="1031"/>
      <c r="L45" s="507"/>
      <c r="M45" s="26"/>
      <c r="N45" s="26"/>
      <c r="O45" s="26"/>
      <c r="P45" s="26"/>
      <c r="Q45" s="26"/>
      <c r="R45" s="26"/>
      <c r="S45" s="26"/>
      <c r="T45" s="26"/>
      <c r="U45" s="26"/>
      <c r="V45" s="26"/>
      <c r="W45" s="26"/>
      <c r="X45" s="26"/>
    </row>
    <row r="46" spans="1:26" ht="45" customHeight="1" x14ac:dyDescent="0.35">
      <c r="B46" s="412"/>
      <c r="C46" s="973"/>
      <c r="D46" s="973"/>
      <c r="E46" s="1032"/>
      <c r="F46" s="1033"/>
      <c r="G46" s="1033"/>
      <c r="H46" s="1033"/>
      <c r="I46" s="1033"/>
      <c r="J46" s="1033"/>
      <c r="K46" s="1033"/>
      <c r="L46" s="507"/>
      <c r="M46" s="26"/>
      <c r="N46" s="26"/>
      <c r="O46" s="26"/>
      <c r="P46" s="26"/>
      <c r="Q46" s="26"/>
      <c r="R46" s="26"/>
      <c r="S46" s="26"/>
      <c r="T46" s="26"/>
      <c r="U46" s="26"/>
      <c r="V46" s="26"/>
      <c r="W46" s="26"/>
      <c r="X46" s="26"/>
    </row>
    <row r="47" spans="1:26" ht="45" customHeight="1" x14ac:dyDescent="0.35">
      <c r="B47" s="412"/>
      <c r="C47" s="973"/>
      <c r="D47" s="973"/>
      <c r="E47" s="1032"/>
      <c r="F47" s="1033"/>
      <c r="G47" s="1033"/>
      <c r="H47" s="1033"/>
      <c r="I47" s="1033"/>
      <c r="J47" s="1033"/>
      <c r="K47" s="1033"/>
      <c r="L47" s="507"/>
      <c r="M47" s="26"/>
      <c r="N47" s="26"/>
      <c r="O47" s="26"/>
      <c r="P47" s="26"/>
      <c r="Q47" s="26"/>
      <c r="R47" s="26"/>
      <c r="S47" s="26"/>
      <c r="T47" s="26"/>
      <c r="U47" s="26"/>
      <c r="V47" s="26"/>
      <c r="W47" s="26"/>
      <c r="X47" s="26"/>
    </row>
    <row r="48" spans="1:26" ht="45" customHeight="1" x14ac:dyDescent="0.35">
      <c r="B48" s="415"/>
      <c r="C48" s="966"/>
      <c r="D48" s="966"/>
      <c r="E48" s="1032"/>
      <c r="F48" s="1033"/>
      <c r="G48" s="1033"/>
      <c r="H48" s="1033"/>
      <c r="I48" s="1033"/>
      <c r="J48" s="1033"/>
      <c r="K48" s="1033"/>
      <c r="L48" s="507"/>
      <c r="M48" s="26"/>
      <c r="N48" s="26"/>
      <c r="O48" s="26"/>
      <c r="P48" s="26"/>
      <c r="Q48" s="26"/>
      <c r="R48" s="26"/>
      <c r="S48" s="26"/>
      <c r="T48" s="26"/>
      <c r="U48" s="26"/>
      <c r="V48" s="26"/>
      <c r="W48" s="26"/>
      <c r="X48" s="26"/>
    </row>
    <row r="49" spans="1:19" ht="10.050000000000001" customHeight="1" x14ac:dyDescent="0.35">
      <c r="C49" s="1"/>
    </row>
    <row r="50" spans="1:19" s="2" customFormat="1" ht="53.55" customHeight="1" x14ac:dyDescent="0.35">
      <c r="B50" s="1042" t="s">
        <v>86</v>
      </c>
      <c r="C50" s="1043"/>
      <c r="D50" s="1043"/>
      <c r="E50" s="1043"/>
      <c r="F50" s="1043"/>
      <c r="G50" s="1043"/>
      <c r="H50" s="1043"/>
      <c r="I50" s="1043"/>
      <c r="J50" s="1043"/>
      <c r="K50" s="1044"/>
    </row>
    <row r="51" spans="1:19" s="4" customFormat="1" ht="26.55" customHeight="1" x14ac:dyDescent="0.35">
      <c r="A51" s="9"/>
      <c r="B51" s="1045" t="s">
        <v>63</v>
      </c>
      <c r="C51" s="1046"/>
      <c r="D51" s="1046"/>
      <c r="E51" s="1046"/>
      <c r="F51" s="1046"/>
      <c r="G51" s="1046"/>
      <c r="H51" s="1046"/>
      <c r="I51" s="1046"/>
      <c r="J51" s="1046"/>
      <c r="K51" s="1047"/>
      <c r="L51" s="63"/>
      <c r="O51" s="1"/>
      <c r="P51" s="1"/>
      <c r="Q51" s="1"/>
      <c r="R51" s="1"/>
      <c r="S51" s="1"/>
    </row>
    <row r="52" spans="1:19" s="4" customFormat="1" ht="58.5" customHeight="1" x14ac:dyDescent="0.35">
      <c r="B52" s="647" t="s">
        <v>89</v>
      </c>
      <c r="C52" s="648"/>
      <c r="D52" s="648"/>
      <c r="E52" s="648"/>
      <c r="F52" s="648"/>
      <c r="G52" s="648"/>
      <c r="H52" s="648"/>
      <c r="I52" s="648"/>
      <c r="J52" s="648"/>
      <c r="K52" s="649"/>
      <c r="L52" s="64"/>
      <c r="N52" s="1"/>
      <c r="O52" s="1"/>
      <c r="P52" s="1"/>
      <c r="Q52" s="8"/>
      <c r="R52" s="6"/>
    </row>
    <row r="53" spans="1:19" s="3" customFormat="1" ht="10.050000000000001" customHeight="1" x14ac:dyDescent="0.35">
      <c r="B53" s="2"/>
      <c r="C53" s="2"/>
    </row>
    <row r="54" spans="1:19" s="2" customFormat="1" ht="42.45" customHeight="1" x14ac:dyDescent="0.35">
      <c r="B54" s="438" t="s">
        <v>64</v>
      </c>
      <c r="C54" s="439"/>
      <c r="D54" s="439"/>
      <c r="E54" s="439"/>
      <c r="F54" s="439"/>
      <c r="G54" s="439"/>
      <c r="H54" s="439"/>
      <c r="I54" s="439"/>
      <c r="J54" s="1041" t="s">
        <v>65</v>
      </c>
      <c r="K54" s="1041"/>
    </row>
    <row r="55" spans="1:19" s="3" customFormat="1" ht="108" customHeight="1" x14ac:dyDescent="0.35">
      <c r="B55" s="1038" t="s">
        <v>87</v>
      </c>
      <c r="C55" s="1039"/>
      <c r="D55" s="1039"/>
      <c r="E55" s="1039"/>
      <c r="F55" s="1039"/>
      <c r="G55" s="1039"/>
      <c r="H55" s="1039"/>
      <c r="I55" s="1040"/>
      <c r="J55" s="1036">
        <v>100000000</v>
      </c>
      <c r="K55" s="1037"/>
    </row>
    <row r="56" spans="1:19" s="3" customFormat="1" ht="118.5" customHeight="1" x14ac:dyDescent="0.35">
      <c r="B56" s="1038" t="s">
        <v>88</v>
      </c>
      <c r="C56" s="1039"/>
      <c r="D56" s="1039"/>
      <c r="E56" s="1039"/>
      <c r="F56" s="1039"/>
      <c r="G56" s="1039"/>
      <c r="H56" s="1039"/>
      <c r="I56" s="1040"/>
      <c r="J56" s="1036">
        <v>55000000</v>
      </c>
      <c r="K56" s="1037"/>
    </row>
    <row r="57" spans="1:19" s="3" customFormat="1" ht="104.55" customHeight="1" x14ac:dyDescent="0.35">
      <c r="B57" s="1038" t="s">
        <v>66</v>
      </c>
      <c r="C57" s="1039"/>
      <c r="D57" s="1039"/>
      <c r="E57" s="1039"/>
      <c r="F57" s="1039"/>
      <c r="G57" s="1039"/>
      <c r="H57" s="1039"/>
      <c r="I57" s="1040"/>
      <c r="J57" s="1036">
        <v>20000000</v>
      </c>
      <c r="K57" s="1037"/>
    </row>
    <row r="58" spans="1:19" s="3" customFormat="1" ht="63" customHeight="1" x14ac:dyDescent="0.35">
      <c r="B58" s="1038" t="s">
        <v>67</v>
      </c>
      <c r="C58" s="1039"/>
      <c r="D58" s="1039"/>
      <c r="E58" s="1039"/>
      <c r="F58" s="1039"/>
      <c r="G58" s="1039"/>
      <c r="H58" s="1039"/>
      <c r="I58" s="1040"/>
      <c r="J58" s="1036">
        <v>100000000</v>
      </c>
      <c r="K58" s="1037"/>
    </row>
    <row r="59" spans="1:19" s="3" customFormat="1" x14ac:dyDescent="0.35"/>
    <row r="60" spans="1:19" s="2" customFormat="1" ht="42.45" customHeight="1" x14ac:dyDescent="0.35">
      <c r="B60" s="438" t="s">
        <v>68</v>
      </c>
      <c r="C60" s="439"/>
      <c r="D60" s="439"/>
      <c r="E60" s="439"/>
      <c r="F60" s="439"/>
      <c r="G60" s="439"/>
      <c r="H60" s="439"/>
      <c r="I60" s="439"/>
      <c r="J60" s="1052" t="s">
        <v>69</v>
      </c>
      <c r="K60" s="1052"/>
    </row>
    <row r="61" spans="1:19" s="2" customFormat="1" ht="55.05" customHeight="1" x14ac:dyDescent="0.35">
      <c r="B61" s="1050" t="s">
        <v>70</v>
      </c>
      <c r="C61" s="1050"/>
      <c r="D61" s="1050"/>
      <c r="E61" s="1050"/>
      <c r="F61" s="1050"/>
      <c r="G61" s="1050"/>
      <c r="H61" s="1050"/>
      <c r="I61" s="1050"/>
      <c r="J61" s="1053">
        <v>2000000</v>
      </c>
      <c r="K61" s="1053"/>
    </row>
    <row r="62" spans="1:19" s="2" customFormat="1" ht="55.05" customHeight="1" x14ac:dyDescent="0.35">
      <c r="B62" s="1050" t="s">
        <v>71</v>
      </c>
      <c r="C62" s="1050"/>
      <c r="D62" s="1050"/>
      <c r="E62" s="1050"/>
      <c r="F62" s="1050"/>
      <c r="G62" s="1050"/>
      <c r="H62" s="1050"/>
      <c r="I62" s="1050"/>
      <c r="J62" s="1053">
        <v>1000000</v>
      </c>
      <c r="K62" s="1053"/>
    </row>
    <row r="63" spans="1:19" s="2" customFormat="1" ht="55.05" customHeight="1" x14ac:dyDescent="0.35">
      <c r="B63" s="1050" t="s">
        <v>72</v>
      </c>
      <c r="C63" s="1050"/>
      <c r="D63" s="1050"/>
      <c r="E63" s="1050"/>
      <c r="F63" s="1050"/>
      <c r="G63" s="1050"/>
      <c r="H63" s="1050"/>
      <c r="I63" s="1050"/>
      <c r="J63" s="1053">
        <v>1000000</v>
      </c>
      <c r="K63" s="1053"/>
    </row>
    <row r="64" spans="1:19" s="2" customFormat="1" ht="55.05" customHeight="1" x14ac:dyDescent="0.35">
      <c r="B64" s="1050" t="s">
        <v>73</v>
      </c>
      <c r="C64" s="1050"/>
      <c r="D64" s="1050"/>
      <c r="E64" s="1050"/>
      <c r="F64" s="1050"/>
      <c r="G64" s="1050"/>
      <c r="H64" s="1050"/>
      <c r="I64" s="1050"/>
      <c r="J64" s="1053">
        <v>500000</v>
      </c>
      <c r="K64" s="1053"/>
    </row>
    <row r="65" spans="2:13" s="2" customFormat="1" ht="55.05" customHeight="1" x14ac:dyDescent="0.35">
      <c r="B65" s="1050" t="s">
        <v>74</v>
      </c>
      <c r="C65" s="1050"/>
      <c r="D65" s="1050"/>
      <c r="E65" s="1050"/>
      <c r="F65" s="1050"/>
      <c r="G65" s="1050"/>
      <c r="H65" s="1050"/>
      <c r="I65" s="1050"/>
      <c r="J65" s="1053">
        <v>1000000</v>
      </c>
      <c r="K65" s="1053"/>
    </row>
    <row r="66" spans="2:13" s="2" customFormat="1" ht="55.05" customHeight="1" x14ac:dyDescent="0.35">
      <c r="B66" s="1050" t="s">
        <v>75</v>
      </c>
      <c r="C66" s="1050"/>
      <c r="D66" s="1050"/>
      <c r="E66" s="1050"/>
      <c r="F66" s="1050"/>
      <c r="G66" s="1050"/>
      <c r="H66" s="1050"/>
      <c r="I66" s="1050"/>
      <c r="J66" s="1053">
        <v>1000000</v>
      </c>
      <c r="K66" s="1053"/>
    </row>
    <row r="67" spans="2:13" s="2" customFormat="1" ht="55.05" customHeight="1" x14ac:dyDescent="0.35">
      <c r="B67" s="1050" t="s">
        <v>76</v>
      </c>
      <c r="C67" s="1050"/>
      <c r="D67" s="1050"/>
      <c r="E67" s="1050"/>
      <c r="F67" s="1050"/>
      <c r="G67" s="1050"/>
      <c r="H67" s="1050"/>
      <c r="I67" s="1050"/>
      <c r="J67" s="1053">
        <v>0</v>
      </c>
      <c r="K67" s="1053"/>
    </row>
    <row r="68" spans="2:13" s="15" customFormat="1" ht="25.05" customHeight="1" x14ac:dyDescent="0.3">
      <c r="B68" s="1051" t="s">
        <v>77</v>
      </c>
      <c r="C68" s="1051"/>
      <c r="D68" s="1051"/>
      <c r="E68" s="1051"/>
      <c r="F68" s="1051"/>
      <c r="G68" s="1051"/>
      <c r="H68" s="1051"/>
      <c r="I68" s="1051"/>
      <c r="J68" s="1049">
        <f>SUM(J61:J67)</f>
        <v>6500000</v>
      </c>
      <c r="K68" s="1049"/>
    </row>
    <row r="69" spans="2:13" s="3" customFormat="1" x14ac:dyDescent="0.35">
      <c r="B69" s="2"/>
      <c r="C69" s="2"/>
    </row>
    <row r="70" spans="2:13" s="59" customFormat="1" ht="46.5" customHeight="1" x14ac:dyDescent="0.3">
      <c r="B70" s="440" t="s">
        <v>78</v>
      </c>
      <c r="C70" s="441"/>
      <c r="D70" s="441"/>
      <c r="E70" s="441"/>
      <c r="F70" s="441"/>
      <c r="G70" s="441"/>
      <c r="H70" s="441"/>
      <c r="I70" s="441"/>
      <c r="J70" s="1052" t="s">
        <v>79</v>
      </c>
      <c r="K70" s="1052"/>
    </row>
    <row r="71" spans="2:13" s="2" customFormat="1" ht="57" customHeight="1" x14ac:dyDescent="0.35">
      <c r="B71" s="1050" t="s">
        <v>80</v>
      </c>
      <c r="C71" s="1050"/>
      <c r="D71" s="1050"/>
      <c r="E71" s="1050"/>
      <c r="F71" s="1050"/>
      <c r="G71" s="1050"/>
      <c r="H71" s="1050"/>
      <c r="I71" s="1050"/>
      <c r="J71" s="1048">
        <v>1000000</v>
      </c>
      <c r="K71" s="1048"/>
    </row>
    <row r="72" spans="2:13" s="2" customFormat="1" ht="78" customHeight="1" x14ac:dyDescent="0.35">
      <c r="B72" s="1050" t="s">
        <v>81</v>
      </c>
      <c r="C72" s="1050"/>
      <c r="D72" s="1050"/>
      <c r="E72" s="1050"/>
      <c r="F72" s="1050"/>
      <c r="G72" s="1050"/>
      <c r="H72" s="1050"/>
      <c r="I72" s="1050"/>
      <c r="J72" s="1048">
        <v>100000</v>
      </c>
      <c r="K72" s="1048"/>
    </row>
    <row r="73" spans="2:13" s="15" customFormat="1" ht="25.05" customHeight="1" x14ac:dyDescent="0.3">
      <c r="B73" s="1051" t="s">
        <v>82</v>
      </c>
      <c r="C73" s="1051"/>
      <c r="D73" s="1051"/>
      <c r="E73" s="1051"/>
      <c r="F73" s="1051"/>
      <c r="G73" s="1051"/>
      <c r="H73" s="1051"/>
      <c r="I73" s="1051"/>
      <c r="J73" s="1049">
        <f>SUM(J71:J72)</f>
        <v>1100000</v>
      </c>
      <c r="K73" s="1049"/>
    </row>
    <row r="74" spans="2:13" s="60" customFormat="1" ht="14.4" x14ac:dyDescent="0.3">
      <c r="B74" s="61"/>
      <c r="C74" s="61"/>
    </row>
    <row r="75" spans="2:13" s="4" customFormat="1" ht="19.95" customHeight="1" x14ac:dyDescent="0.35">
      <c r="B75" s="946" t="s">
        <v>0</v>
      </c>
      <c r="C75" s="540"/>
      <c r="D75" s="540"/>
      <c r="E75" s="540"/>
      <c r="F75" s="444"/>
      <c r="G75" s="444"/>
      <c r="H75" s="7"/>
    </row>
    <row r="76" spans="2:13" s="2" customFormat="1" ht="19.95" customHeight="1" x14ac:dyDescent="0.35">
      <c r="B76" s="530" t="s">
        <v>23</v>
      </c>
      <c r="C76" s="531"/>
      <c r="D76" s="531"/>
      <c r="E76" s="531"/>
      <c r="F76" s="531"/>
      <c r="G76" s="531"/>
      <c r="H76" s="531"/>
      <c r="I76" s="531"/>
      <c r="J76" s="531"/>
      <c r="K76" s="531"/>
      <c r="L76" s="531"/>
      <c r="M76" s="532"/>
    </row>
    <row r="77" spans="2:13" s="2" customFormat="1" ht="19.95" customHeight="1" x14ac:dyDescent="0.35">
      <c r="B77" s="533" t="s">
        <v>32</v>
      </c>
      <c r="C77" s="534"/>
      <c r="D77" s="534"/>
      <c r="E77" s="534"/>
      <c r="F77" s="534"/>
      <c r="G77" s="534"/>
      <c r="H77" s="534"/>
      <c r="I77" s="534"/>
      <c r="J77" s="534"/>
      <c r="K77" s="534"/>
      <c r="L77" s="534"/>
      <c r="M77" s="535"/>
    </row>
    <row r="78" spans="2:13" s="2" customFormat="1" ht="19.95" customHeight="1" x14ac:dyDescent="0.35">
      <c r="B78" s="536" t="s">
        <v>41</v>
      </c>
      <c r="C78" s="537"/>
      <c r="D78" s="537"/>
      <c r="E78" s="537"/>
      <c r="F78" s="537"/>
      <c r="G78" s="537"/>
      <c r="H78" s="537"/>
      <c r="I78" s="537"/>
      <c r="J78" s="537"/>
      <c r="K78" s="537"/>
      <c r="L78" s="537"/>
      <c r="M78" s="538"/>
    </row>
    <row r="79" spans="2:13" x14ac:dyDescent="0.35">
      <c r="C79" s="1"/>
    </row>
    <row r="80" spans="2:13" x14ac:dyDescent="0.35">
      <c r="C80" s="1"/>
    </row>
    <row r="81" spans="3:3" x14ac:dyDescent="0.35">
      <c r="C81" s="1"/>
    </row>
    <row r="82" spans="3:3" x14ac:dyDescent="0.35">
      <c r="C82" s="1"/>
    </row>
    <row r="83" spans="3:3" x14ac:dyDescent="0.35">
      <c r="C83" s="1"/>
    </row>
    <row r="84" spans="3:3" x14ac:dyDescent="0.35">
      <c r="C84" s="1"/>
    </row>
    <row r="85" spans="3:3" x14ac:dyDescent="0.35">
      <c r="C85" s="1"/>
    </row>
    <row r="86" spans="3:3" x14ac:dyDescent="0.35">
      <c r="C86" s="1"/>
    </row>
    <row r="87" spans="3:3" x14ac:dyDescent="0.35">
      <c r="C87" s="1"/>
    </row>
    <row r="88" spans="3:3" x14ac:dyDescent="0.35">
      <c r="C88" s="1"/>
    </row>
    <row r="89" spans="3:3" x14ac:dyDescent="0.35">
      <c r="C89" s="1"/>
    </row>
    <row r="90" spans="3:3" x14ac:dyDescent="0.35">
      <c r="C90" s="1"/>
    </row>
    <row r="91" spans="3:3" x14ac:dyDescent="0.35">
      <c r="C91" s="1"/>
    </row>
    <row r="92" spans="3:3" x14ac:dyDescent="0.35">
      <c r="C92" s="1"/>
    </row>
    <row r="93" spans="3:3" x14ac:dyDescent="0.35">
      <c r="C93" s="1"/>
    </row>
    <row r="94" spans="3:3" x14ac:dyDescent="0.35">
      <c r="C94" s="1"/>
    </row>
    <row r="95" spans="3:3" x14ac:dyDescent="0.35">
      <c r="C95" s="1"/>
    </row>
    <row r="96" spans="3:3" x14ac:dyDescent="0.35">
      <c r="C96" s="1"/>
    </row>
    <row r="97" spans="3:3" x14ac:dyDescent="0.35">
      <c r="C97" s="1"/>
    </row>
    <row r="98" spans="3:3" x14ac:dyDescent="0.35">
      <c r="C98" s="1"/>
    </row>
    <row r="99" spans="3:3" x14ac:dyDescent="0.35">
      <c r="C99" s="1"/>
    </row>
    <row r="100" spans="3:3" x14ac:dyDescent="0.35">
      <c r="C100" s="1"/>
    </row>
    <row r="101" spans="3:3" x14ac:dyDescent="0.35">
      <c r="C101" s="1"/>
    </row>
    <row r="102" spans="3:3" x14ac:dyDescent="0.35">
      <c r="C102" s="1"/>
    </row>
    <row r="103" spans="3:3" x14ac:dyDescent="0.35">
      <c r="C103" s="1"/>
    </row>
    <row r="104" spans="3:3" x14ac:dyDescent="0.35">
      <c r="C104" s="1"/>
    </row>
    <row r="105" spans="3:3" x14ac:dyDescent="0.35">
      <c r="C105" s="1"/>
    </row>
    <row r="106" spans="3:3" x14ac:dyDescent="0.35">
      <c r="C106" s="1"/>
    </row>
    <row r="107" spans="3:3" x14ac:dyDescent="0.35">
      <c r="C107" s="1"/>
    </row>
    <row r="108" spans="3:3" x14ac:dyDescent="0.35">
      <c r="C108" s="1"/>
    </row>
    <row r="109" spans="3:3" x14ac:dyDescent="0.35">
      <c r="C109" s="1"/>
    </row>
    <row r="110" spans="3:3" x14ac:dyDescent="0.35">
      <c r="C110" s="1"/>
    </row>
    <row r="111" spans="3:3" x14ac:dyDescent="0.35">
      <c r="C111" s="1"/>
    </row>
    <row r="112" spans="3:3" x14ac:dyDescent="0.35">
      <c r="C112" s="1"/>
    </row>
    <row r="113" spans="3:3" x14ac:dyDescent="0.35">
      <c r="C113" s="1"/>
    </row>
    <row r="114" spans="3:3" x14ac:dyDescent="0.35">
      <c r="C114" s="1"/>
    </row>
    <row r="115" spans="3:3" x14ac:dyDescent="0.35">
      <c r="C115" s="1"/>
    </row>
    <row r="116" spans="3:3" x14ac:dyDescent="0.35">
      <c r="C116" s="1"/>
    </row>
    <row r="117" spans="3:3" x14ac:dyDescent="0.35">
      <c r="C117" s="1"/>
    </row>
    <row r="118" spans="3:3" x14ac:dyDescent="0.35">
      <c r="C118" s="1"/>
    </row>
    <row r="119" spans="3:3" x14ac:dyDescent="0.35">
      <c r="C119" s="1"/>
    </row>
    <row r="120" spans="3:3" x14ac:dyDescent="0.35">
      <c r="C120" s="1"/>
    </row>
    <row r="121" spans="3:3" x14ac:dyDescent="0.35">
      <c r="C121" s="1"/>
    </row>
    <row r="122" spans="3:3" x14ac:dyDescent="0.35">
      <c r="C122" s="1"/>
    </row>
    <row r="123" spans="3:3" x14ac:dyDescent="0.35">
      <c r="C123" s="1"/>
    </row>
    <row r="124" spans="3:3" x14ac:dyDescent="0.35">
      <c r="C124" s="1"/>
    </row>
    <row r="125" spans="3:3" x14ac:dyDescent="0.35">
      <c r="C125" s="1"/>
    </row>
    <row r="126" spans="3:3" x14ac:dyDescent="0.35">
      <c r="C126" s="1"/>
    </row>
    <row r="127" spans="3:3" x14ac:dyDescent="0.35">
      <c r="C127" s="1"/>
    </row>
    <row r="128" spans="3:3" x14ac:dyDescent="0.35">
      <c r="C128" s="1"/>
    </row>
    <row r="129" spans="3:3" x14ac:dyDescent="0.35">
      <c r="C129" s="1"/>
    </row>
    <row r="130" spans="3:3" x14ac:dyDescent="0.35">
      <c r="C130" s="1"/>
    </row>
    <row r="131" spans="3:3" x14ac:dyDescent="0.35">
      <c r="C131" s="1"/>
    </row>
  </sheetData>
  <mergeCells count="90">
    <mergeCell ref="J29:K36"/>
    <mergeCell ref="B38:C38"/>
    <mergeCell ref="D38:E38"/>
    <mergeCell ref="D39:E39"/>
    <mergeCell ref="H39:I39"/>
    <mergeCell ref="J39:K39"/>
    <mergeCell ref="F38:G38"/>
    <mergeCell ref="F39:G39"/>
    <mergeCell ref="B39:C39"/>
    <mergeCell ref="H29:I36"/>
    <mergeCell ref="D29:E36"/>
    <mergeCell ref="F29:G36"/>
    <mergeCell ref="F16:G21"/>
    <mergeCell ref="H16:I21"/>
    <mergeCell ref="J16:K21"/>
    <mergeCell ref="D16:E21"/>
    <mergeCell ref="F23:G27"/>
    <mergeCell ref="H23:I27"/>
    <mergeCell ref="J23:K27"/>
    <mergeCell ref="D23:E27"/>
    <mergeCell ref="D11:E14"/>
    <mergeCell ref="F11:G14"/>
    <mergeCell ref="H11:I14"/>
    <mergeCell ref="J11:K14"/>
    <mergeCell ref="F9:G9"/>
    <mergeCell ref="D9:E9"/>
    <mergeCell ref="H9:I9"/>
    <mergeCell ref="J9:K9"/>
    <mergeCell ref="B57:I57"/>
    <mergeCell ref="B58:I58"/>
    <mergeCell ref="J61:K61"/>
    <mergeCell ref="J62:K62"/>
    <mergeCell ref="J63:K63"/>
    <mergeCell ref="B61:I61"/>
    <mergeCell ref="B62:I62"/>
    <mergeCell ref="B63:I63"/>
    <mergeCell ref="J60:K60"/>
    <mergeCell ref="B66:I66"/>
    <mergeCell ref="B67:I67"/>
    <mergeCell ref="B68:I68"/>
    <mergeCell ref="J68:K68"/>
    <mergeCell ref="J64:K64"/>
    <mergeCell ref="J65:K65"/>
    <mergeCell ref="J66:K66"/>
    <mergeCell ref="J67:K67"/>
    <mergeCell ref="B64:I64"/>
    <mergeCell ref="B75:E75"/>
    <mergeCell ref="B77:M77"/>
    <mergeCell ref="B78:M78"/>
    <mergeCell ref="B76:M76"/>
    <mergeCell ref="J56:K56"/>
    <mergeCell ref="J57:K57"/>
    <mergeCell ref="J58:K58"/>
    <mergeCell ref="B56:I56"/>
    <mergeCell ref="J72:K72"/>
    <mergeCell ref="J73:K73"/>
    <mergeCell ref="B71:I71"/>
    <mergeCell ref="B72:I72"/>
    <mergeCell ref="B73:I73"/>
    <mergeCell ref="J71:K71"/>
    <mergeCell ref="J70:K70"/>
    <mergeCell ref="B65:I65"/>
    <mergeCell ref="J55:K55"/>
    <mergeCell ref="B55:I55"/>
    <mergeCell ref="J54:K54"/>
    <mergeCell ref="B50:K50"/>
    <mergeCell ref="B51:K51"/>
    <mergeCell ref="B52:K52"/>
    <mergeCell ref="B41:I41"/>
    <mergeCell ref="J41:K41"/>
    <mergeCell ref="B43:D43"/>
    <mergeCell ref="H38:I38"/>
    <mergeCell ref="J38:K38"/>
    <mergeCell ref="B2:K2"/>
    <mergeCell ref="D7:E7"/>
    <mergeCell ref="H7:I7"/>
    <mergeCell ref="J7:K7"/>
    <mergeCell ref="B6:K6"/>
    <mergeCell ref="B3:K4"/>
    <mergeCell ref="F7:G7"/>
    <mergeCell ref="C47:D47"/>
    <mergeCell ref="C48:D48"/>
    <mergeCell ref="E43:K44"/>
    <mergeCell ref="E45:K45"/>
    <mergeCell ref="E46:K46"/>
    <mergeCell ref="E47:K47"/>
    <mergeCell ref="E48:K48"/>
    <mergeCell ref="C44:D44"/>
    <mergeCell ref="C45:D45"/>
    <mergeCell ref="C46:D46"/>
  </mergeCells>
  <hyperlinks>
    <hyperlink ref="J41" r:id="rId1" xr:uid="{01A003C8-04F8-439B-B7EB-18C7C3337A83}"/>
  </hyperlinks>
  <pageMargins left="0.7" right="0.7" top="0.75" bottom="0.75" header="0.3" footer="0.3"/>
  <pageSetup orientation="portrait"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Company Profile</vt:lpstr>
      <vt:lpstr>Break-Even Scores</vt:lpstr>
      <vt:lpstr>Positive Pursuits</vt:lpstr>
      <vt:lpstr>SDGs Scores</vt:lpstr>
      <vt:lpstr>Capitals Scores</vt:lpstr>
      <vt:lpstr>'Break-Even Scores'!_Hlk13818446</vt:lpstr>
      <vt:lpstr>'Capitals Scores'!Print_Area</vt:lpstr>
      <vt:lpstr>Intro!Print_Area</vt:lpstr>
      <vt:lpstr>'SDGs Scores'!Print_Area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2020-03-22T18:50:09Z</cp:lastPrinted>
  <dcterms:created xsi:type="dcterms:W3CDTF">2018-12-22T13:28:05Z</dcterms:created>
  <dcterms:modified xsi:type="dcterms:W3CDTF">2025-09-04T19:03:36Z</dcterms:modified>
</cp:coreProperties>
</file>